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IM NARLI\Desktop\YENİ MALİ PAKETLER\2-BÜTÇE\ÖRNEK PAKET\STANDART  PAKET\UYGULAMALAR\BÜTÇE ÖRNEKLERİ\KÜÇÜK BÜTÇE\"/>
    </mc:Choice>
  </mc:AlternateContent>
  <bookViews>
    <workbookView xWindow="0" yWindow="0" windowWidth="19200" windowHeight="6195" tabRatio="897" activeTab="11"/>
  </bookViews>
  <sheets>
    <sheet name="DB BİLANÇO" sheetId="10" r:id="rId1"/>
    <sheet name="Varsayımlar" sheetId="4" r:id="rId2"/>
    <sheet name="SATIŞ" sheetId="1" r:id="rId3"/>
    <sheet name="DİMM" sheetId="2" r:id="rId4"/>
    <sheet name="STOK" sheetId="14" r:id="rId5"/>
    <sheet name="GÜG" sheetId="11" r:id="rId6"/>
    <sheet name="SMM" sheetId="9" r:id="rId7"/>
    <sheet name="PSD" sheetId="13" r:id="rId8"/>
    <sheet name="GYG" sheetId="3" r:id="rId9"/>
    <sheet name="FIN" sheetId="15" r:id="rId10"/>
    <sheet name="NAKİT A." sheetId="6" r:id="rId11"/>
    <sheet name="KAR-ZARAR" sheetId="7" r:id="rId12"/>
    <sheet name="DS BİLANÇO" sheetId="8" r:id="rId13"/>
    <sheet name="ÖDEV" sheetId="16" r:id="rId14"/>
  </sheets>
  <calcPr calcId="152511"/>
</workbook>
</file>

<file path=xl/calcChain.xml><?xml version="1.0" encoding="utf-8"?>
<calcChain xmlns="http://schemas.openxmlformats.org/spreadsheetml/2006/main">
  <c r="D21" i="6" l="1"/>
  <c r="C25" i="6" l="1"/>
  <c r="C14" i="8" l="1"/>
  <c r="D17" i="6"/>
  <c r="C15" i="8" l="1"/>
  <c r="F10" i="8"/>
  <c r="F8" i="8" l="1"/>
  <c r="E14" i="6" l="1"/>
  <c r="D14" i="6"/>
  <c r="C14" i="6"/>
  <c r="F7" i="15"/>
  <c r="E7" i="15"/>
  <c r="D7" i="15"/>
  <c r="C7" i="15"/>
  <c r="F6" i="15"/>
  <c r="F5" i="15"/>
  <c r="F4" i="15"/>
  <c r="F9" i="9" l="1"/>
  <c r="C17" i="14"/>
  <c r="D8" i="2" l="1"/>
  <c r="C4" i="14" s="1"/>
  <c r="F14" i="8"/>
  <c r="C13" i="8" l="1"/>
  <c r="C12" i="8"/>
  <c r="C11" i="8"/>
  <c r="E8" i="13" l="1"/>
  <c r="D8" i="13"/>
  <c r="C8" i="13"/>
  <c r="E7" i="13"/>
  <c r="D7" i="13"/>
  <c r="C7" i="13"/>
  <c r="E5" i="13"/>
  <c r="D5" i="13"/>
  <c r="C5" i="13"/>
  <c r="E4" i="13"/>
  <c r="D4" i="13"/>
  <c r="C4" i="13"/>
  <c r="C4" i="11"/>
  <c r="D4" i="11"/>
  <c r="E4" i="11"/>
  <c r="C5" i="11"/>
  <c r="D5" i="11"/>
  <c r="E5" i="11"/>
  <c r="C7" i="11"/>
  <c r="D7" i="11"/>
  <c r="E7" i="11"/>
  <c r="C8" i="11"/>
  <c r="D8" i="11"/>
  <c r="E8" i="11"/>
  <c r="C8" i="10"/>
  <c r="C17" i="10" s="1"/>
  <c r="F8" i="10"/>
  <c r="F17" i="10" s="1"/>
  <c r="C13" i="10"/>
  <c r="C15" i="10"/>
  <c r="F15" i="10"/>
  <c r="C6" i="13" l="1"/>
  <c r="C6" i="11"/>
  <c r="C9" i="11" s="1"/>
  <c r="E6" i="11"/>
  <c r="E9" i="11" s="1"/>
  <c r="E6" i="13"/>
  <c r="E9" i="13" s="1"/>
  <c r="D6" i="11"/>
  <c r="F8" i="11"/>
  <c r="D9" i="11"/>
  <c r="C9" i="13"/>
  <c r="D6" i="13"/>
  <c r="D9" i="13" s="1"/>
  <c r="F8" i="13"/>
  <c r="F6" i="9"/>
  <c r="G7" i="1"/>
  <c r="G8" i="1"/>
  <c r="C16" i="6"/>
  <c r="F15" i="8" s="1"/>
  <c r="E15" i="6"/>
  <c r="D15" i="6"/>
  <c r="C3" i="6"/>
  <c r="E8" i="3"/>
  <c r="D8" i="3"/>
  <c r="C8" i="3"/>
  <c r="E7" i="3"/>
  <c r="D7" i="3"/>
  <c r="C7" i="3"/>
  <c r="E5" i="3"/>
  <c r="D5" i="3"/>
  <c r="C5" i="3"/>
  <c r="E4" i="3"/>
  <c r="D4" i="3"/>
  <c r="C4" i="3"/>
  <c r="G13" i="2"/>
  <c r="G5" i="2"/>
  <c r="F6" i="2" s="1"/>
  <c r="E8" i="14" s="1"/>
  <c r="F5" i="2"/>
  <c r="E5" i="2"/>
  <c r="D5" i="2"/>
  <c r="C7" i="14" s="1"/>
  <c r="D19" i="2"/>
  <c r="F14" i="2"/>
  <c r="E14" i="2"/>
  <c r="D14" i="2"/>
  <c r="F7" i="1"/>
  <c r="E7" i="1"/>
  <c r="D7" i="1"/>
  <c r="F8" i="1"/>
  <c r="E8" i="1"/>
  <c r="D8" i="1"/>
  <c r="D13" i="1"/>
  <c r="D7" i="14" l="1"/>
  <c r="D6" i="2"/>
  <c r="C8" i="14" s="1"/>
  <c r="C9" i="14" s="1"/>
  <c r="E7" i="14"/>
  <c r="E9" i="14" s="1"/>
  <c r="E6" i="2"/>
  <c r="D8" i="14" s="1"/>
  <c r="F9" i="11"/>
  <c r="C6" i="3"/>
  <c r="C9" i="3" s="1"/>
  <c r="F9" i="13"/>
  <c r="F8" i="3"/>
  <c r="C16" i="8" s="1"/>
  <c r="D6" i="3"/>
  <c r="D9" i="3" s="1"/>
  <c r="D13" i="6" s="1"/>
  <c r="E6" i="3"/>
  <c r="E9" i="3" s="1"/>
  <c r="E13" i="6" s="1"/>
  <c r="G9" i="1"/>
  <c r="D12" i="6"/>
  <c r="C7" i="9"/>
  <c r="E12" i="6"/>
  <c r="E7" i="2"/>
  <c r="F9" i="1"/>
  <c r="E9" i="1"/>
  <c r="F15" i="1" s="1"/>
  <c r="D9" i="1"/>
  <c r="D7" i="2" l="1"/>
  <c r="D9" i="2" s="1"/>
  <c r="C5" i="14" s="1"/>
  <c r="C6" i="14" s="1"/>
  <c r="F8" i="2"/>
  <c r="E4" i="14" s="1"/>
  <c r="D9" i="14"/>
  <c r="E8" i="2"/>
  <c r="D4" i="14" s="1"/>
  <c r="C10" i="8"/>
  <c r="D11" i="6"/>
  <c r="D7" i="9"/>
  <c r="F7" i="2"/>
  <c r="E11" i="6"/>
  <c r="E7" i="9"/>
  <c r="E14" i="1"/>
  <c r="C4" i="7"/>
  <c r="C6" i="7" s="1"/>
  <c r="F16" i="1"/>
  <c r="F17" i="1" s="1"/>
  <c r="E4" i="6" s="1"/>
  <c r="G16" i="1"/>
  <c r="G17" i="1" s="1"/>
  <c r="C7" i="8" s="1"/>
  <c r="C13" i="6"/>
  <c r="F9" i="3"/>
  <c r="C9" i="7" s="1"/>
  <c r="C12" i="6"/>
  <c r="C11" i="6"/>
  <c r="F7" i="9"/>
  <c r="E15" i="1"/>
  <c r="E17" i="1" s="1"/>
  <c r="D4" i="6" s="1"/>
  <c r="D14" i="1"/>
  <c r="D17" i="1" s="1"/>
  <c r="C4" i="6" s="1"/>
  <c r="C7" i="6" s="1"/>
  <c r="E9" i="2" l="1"/>
  <c r="E13" i="2" s="1"/>
  <c r="E15" i="2" s="1"/>
  <c r="F9" i="2"/>
  <c r="E5" i="14" s="1"/>
  <c r="E6" i="14" s="1"/>
  <c r="D13" i="2"/>
  <c r="D15" i="2" s="1"/>
  <c r="F21" i="2" l="1"/>
  <c r="D18" i="14"/>
  <c r="E21" i="2"/>
  <c r="D5" i="14"/>
  <c r="D6" i="14" s="1"/>
  <c r="C18" i="14"/>
  <c r="E20" i="2"/>
  <c r="E23" i="2" s="1"/>
  <c r="D10" i="6" s="1"/>
  <c r="D18" i="6" s="1"/>
  <c r="D20" i="2"/>
  <c r="D23" i="2" s="1"/>
  <c r="C10" i="6" s="1"/>
  <c r="C18" i="6" s="1"/>
  <c r="F13" i="2"/>
  <c r="F15" i="2" s="1"/>
  <c r="G22" i="2" s="1"/>
  <c r="F22" i="2" l="1"/>
  <c r="F23" i="2" s="1"/>
  <c r="E10" i="6" s="1"/>
  <c r="E18" i="6" s="1"/>
  <c r="E18" i="14"/>
  <c r="C19" i="14"/>
  <c r="C13" i="14"/>
  <c r="G23" i="2"/>
  <c r="F6" i="8" s="1"/>
  <c r="C20" i="14" l="1"/>
  <c r="C21" i="14"/>
  <c r="D17" i="14" s="1"/>
  <c r="D13" i="14" l="1"/>
  <c r="D19" i="14"/>
  <c r="C5" i="9"/>
  <c r="C8" i="9" s="1"/>
  <c r="C10" i="9" s="1"/>
  <c r="C22" i="14"/>
  <c r="C24" i="14" s="1"/>
  <c r="D21" i="14" l="1"/>
  <c r="E17" i="14" s="1"/>
  <c r="D20" i="14"/>
  <c r="C20" i="6"/>
  <c r="D22" i="14" l="1"/>
  <c r="D24" i="14" s="1"/>
  <c r="D5" i="9"/>
  <c r="E13" i="14"/>
  <c r="E19" i="14"/>
  <c r="C21" i="6"/>
  <c r="C22" i="6" s="1"/>
  <c r="C23" i="6"/>
  <c r="E21" i="14" l="1"/>
  <c r="C8" i="8" s="1"/>
  <c r="E20" i="14"/>
  <c r="D8" i="9"/>
  <c r="D10" i="9" s="1"/>
  <c r="D3" i="6"/>
  <c r="D7" i="6" l="1"/>
  <c r="D20" i="6" s="1"/>
  <c r="E5" i="9"/>
  <c r="E22" i="14"/>
  <c r="E24" i="14" s="1"/>
  <c r="D23" i="6" l="1"/>
  <c r="D22" i="6"/>
  <c r="D25" i="6" s="1"/>
  <c r="E8" i="9"/>
  <c r="E10" i="9" s="1"/>
  <c r="F10" i="9" s="1"/>
  <c r="C7" i="7" s="1"/>
  <c r="C8" i="7" s="1"/>
  <c r="C10" i="7" s="1"/>
  <c r="F5" i="9"/>
  <c r="F8" i="9" s="1"/>
  <c r="E3" i="6" l="1"/>
  <c r="E7" i="6" s="1"/>
  <c r="E20" i="6" s="1"/>
  <c r="E21" i="6" s="1"/>
  <c r="E23" i="6" l="1"/>
  <c r="C6" i="8" s="1"/>
  <c r="E22" i="6"/>
  <c r="C11" i="7" s="1"/>
  <c r="C12" i="7" s="1"/>
  <c r="C13" i="7" s="1"/>
  <c r="F7" i="8" s="1"/>
  <c r="E25" i="6" l="1"/>
  <c r="C5" i="8" s="1"/>
  <c r="C4" i="8" s="1"/>
  <c r="C18" i="8" s="1"/>
  <c r="F5" i="8"/>
  <c r="F4" i="8" s="1"/>
  <c r="C14" i="7"/>
  <c r="D14" i="7" s="1"/>
  <c r="H8" i="8" l="1"/>
  <c r="F16" i="8"/>
  <c r="F13" i="8" s="1"/>
  <c r="F18" i="8" s="1"/>
  <c r="F20" i="8" l="1"/>
</calcChain>
</file>

<file path=xl/sharedStrings.xml><?xml version="1.0" encoding="utf-8"?>
<sst xmlns="http://schemas.openxmlformats.org/spreadsheetml/2006/main" count="288" uniqueCount="159">
  <si>
    <t>SATIŞ BÜTÇESİ</t>
  </si>
  <si>
    <t>MİKTARLAR</t>
  </si>
  <si>
    <t>Ekim</t>
  </si>
  <si>
    <t>Kasım</t>
  </si>
  <si>
    <t>Aralık</t>
  </si>
  <si>
    <t>Ocak</t>
  </si>
  <si>
    <t xml:space="preserve"> </t>
  </si>
  <si>
    <t>Miktarlar</t>
  </si>
  <si>
    <t>Fiyat</t>
  </si>
  <si>
    <t>Satış Geliri</t>
  </si>
  <si>
    <t>SATIŞ TAHSİLATI</t>
  </si>
  <si>
    <t>PEŞİN</t>
  </si>
  <si>
    <t>1'NCİ AY</t>
  </si>
  <si>
    <t>TEDARİK TEDİYESİ</t>
  </si>
  <si>
    <t>Eylül</t>
  </si>
  <si>
    <t>Kasa &amp; Banka</t>
  </si>
  <si>
    <t>Ticari Alacaklar</t>
  </si>
  <si>
    <t>Stoklar</t>
  </si>
  <si>
    <t xml:space="preserve">Dönen Varlıklar </t>
  </si>
  <si>
    <t>Arazi</t>
  </si>
  <si>
    <t>Bina</t>
  </si>
  <si>
    <t>Brüt Duran Varlıklar</t>
  </si>
  <si>
    <t>Birikmiş Amortisman</t>
  </si>
  <si>
    <t>Net Duran Varlıklar</t>
  </si>
  <si>
    <t>Toplam Varlıklar</t>
  </si>
  <si>
    <t>Toplam</t>
  </si>
  <si>
    <t>SATIŞ FİYATI</t>
  </si>
  <si>
    <t>DİMM ALIŞ FİYATI</t>
  </si>
  <si>
    <t>EKİM</t>
  </si>
  <si>
    <t>KASIM</t>
  </si>
  <si>
    <t>ARALIK</t>
  </si>
  <si>
    <t>OCAK</t>
  </si>
  <si>
    <t>SATIŞ MİKTARLARI</t>
  </si>
  <si>
    <t>NAKİT ÇIKIŞ BÜTÇESİ</t>
  </si>
  <si>
    <t>NAKİT TAHSİLAT BÜTÇESİ</t>
  </si>
  <si>
    <t>Satıcılara Borçlar</t>
  </si>
  <si>
    <t>Bankalara Borçlar</t>
  </si>
  <si>
    <t>Kısa Vadeli Yab. Kayn.</t>
  </si>
  <si>
    <t>Ödenmiş Sermaye</t>
  </si>
  <si>
    <t>Geçmiş Yıllar Karları</t>
  </si>
  <si>
    <t>Dönem Karı</t>
  </si>
  <si>
    <t>Özsermaye</t>
  </si>
  <si>
    <t>Toplam Kaynaklar</t>
  </si>
  <si>
    <t>Ekipman</t>
  </si>
  <si>
    <t>Satın Alma Tutarı</t>
  </si>
  <si>
    <t>Bütçelenen Satış Miktarı</t>
  </si>
  <si>
    <t>Dönem Sonu Stok</t>
  </si>
  <si>
    <t>DÖNEM SONU STOK %</t>
  </si>
  <si>
    <t>Gerekli Malzeme Miktarı</t>
  </si>
  <si>
    <t>Dönem Başı Stok</t>
  </si>
  <si>
    <t>Toplam Satın Alınacak Miktar</t>
  </si>
  <si>
    <t>TUTARLAR</t>
  </si>
  <si>
    <t>DİMM TEDARİK BÜTÇESİ</t>
  </si>
  <si>
    <t>PSD</t>
  </si>
  <si>
    <t>GYG</t>
  </si>
  <si>
    <t>Satış Miktarı</t>
  </si>
  <si>
    <t>Top. Değişken HÜG</t>
  </si>
  <si>
    <t>PSD Değişken Maliyet</t>
  </si>
  <si>
    <t>Sabit PSD</t>
  </si>
  <si>
    <t>PSD Amortismanı</t>
  </si>
  <si>
    <t>Nakit PSD</t>
  </si>
  <si>
    <t>Top. Değişken GYG</t>
  </si>
  <si>
    <t>GYG Değişken Maliyet</t>
  </si>
  <si>
    <t>Sabit GYG</t>
  </si>
  <si>
    <t>GYG Amortismanı</t>
  </si>
  <si>
    <t>Nakit GYG</t>
  </si>
  <si>
    <t>Dönem Başı Nakit</t>
  </si>
  <si>
    <t>Nakit Ödemeler</t>
  </si>
  <si>
    <t>DİMM Ödemeleri</t>
  </si>
  <si>
    <t>PSD Ödemeleri</t>
  </si>
  <si>
    <t>GYG Ödemeleri</t>
  </si>
  <si>
    <t>Ekipman Taksitleri</t>
  </si>
  <si>
    <t>Kar Payı Ödemesi</t>
  </si>
  <si>
    <t>Toplam Nakit Çıkışı</t>
  </si>
  <si>
    <t>Nakit Dengesi</t>
  </si>
  <si>
    <t>Dönem Sonu Nakit</t>
  </si>
  <si>
    <t>NAKİT AKIMI VARSAYIMLARI</t>
  </si>
  <si>
    <t>Hedeflenen Ay Sonu Kasa Tutarı</t>
  </si>
  <si>
    <t>Borç Faizi</t>
  </si>
  <si>
    <t>Kar Payı Ödemesi ( Ekim )</t>
  </si>
  <si>
    <t>KAR-ZARAR TABLOSU</t>
  </si>
  <si>
    <t>BRÜT SATIŞ GELİRLERİ</t>
  </si>
  <si>
    <t>SATIŞ İADELERİ VE İSKONTOLARI</t>
  </si>
  <si>
    <t>BRÜT SATIŞ KARI</t>
  </si>
  <si>
    <t>FAALİYET GİDERLERİ</t>
  </si>
  <si>
    <t>FAALİYET KARI</t>
  </si>
  <si>
    <t>FİNANS GİDERLERİ</t>
  </si>
  <si>
    <t>DÖNEM KARI</t>
  </si>
  <si>
    <t>VERGİ</t>
  </si>
  <si>
    <t>DÖNEM NET KARI</t>
  </si>
  <si>
    <t>GELİR TABLOSU VARSAYIMLARI</t>
  </si>
  <si>
    <t>Kurumlar Vergisi Oranı</t>
  </si>
  <si>
    <t>NET SATIŞ GELİRİ</t>
  </si>
  <si>
    <t>TOPLAM</t>
  </si>
  <si>
    <t>Vergi Borcu</t>
  </si>
  <si>
    <t>31 ARALIK BİLANÇOSU  TL</t>
  </si>
  <si>
    <t>ŞUBAT</t>
  </si>
  <si>
    <t>MART</t>
  </si>
  <si>
    <t>DİMM Maliyeti</t>
  </si>
  <si>
    <t>Direkt İşçilik</t>
  </si>
  <si>
    <t>2'NCİ AY</t>
  </si>
  <si>
    <t>PSD BÜTÇESİ</t>
  </si>
  <si>
    <t>GYG BÜTÇESİ</t>
  </si>
  <si>
    <t>VADELER</t>
  </si>
  <si>
    <t>Kısa Vadeli Banka Borcu</t>
  </si>
  <si>
    <t>30 EYLÜL BİLANÇOSU  $</t>
  </si>
  <si>
    <t>DEĞİŞKEN GİDER ( $/Ad)</t>
  </si>
  <si>
    <t>AMORTİSMAN ( Aylık $ )</t>
  </si>
  <si>
    <t>DİĞER SABİT ( Aylık $ )</t>
  </si>
  <si>
    <t>GÜG</t>
  </si>
  <si>
    <t>GÜG BÜTÇESİ</t>
  </si>
  <si>
    <t>GÜG Değişken Maliyet</t>
  </si>
  <si>
    <t>Top. Değişken GÜG</t>
  </si>
  <si>
    <t>Sabit GÜG</t>
  </si>
  <si>
    <t>GÜG Amortismanı</t>
  </si>
  <si>
    <t>Nakit GÜG</t>
  </si>
  <si>
    <t>SATILAN MALIN MALİYETİ ( SMM )</t>
  </si>
  <si>
    <t>ÜRETİM MALİYETİ</t>
  </si>
  <si>
    <t>SATILAN MALIN MALİYETİ</t>
  </si>
  <si>
    <t>GÜG Ödemeleri</t>
  </si>
  <si>
    <t>STOKLAR</t>
  </si>
  <si>
    <t>DÖNEM BAŞI HAMMADDE</t>
  </si>
  <si>
    <t>DÖNEM BAŞI STOK</t>
  </si>
  <si>
    <t>HAMMADDE STOK HESABI</t>
  </si>
  <si>
    <t>MİKTAR DENGESİ</t>
  </si>
  <si>
    <t>DÖNEM İÇİ ALIŞ</t>
  </si>
  <si>
    <t>DÖNEM İÇİ KULLANILAN</t>
  </si>
  <si>
    <t>DÖNEM SONU STOK</t>
  </si>
  <si>
    <t>TUTAR DENGESİ</t>
  </si>
  <si>
    <t>SAĞLAMA</t>
  </si>
  <si>
    <t>MAMUL STOK FARKI</t>
  </si>
  <si>
    <t>Mevduat</t>
  </si>
  <si>
    <t>Finans Giderleri</t>
  </si>
  <si>
    <t>Yeni Kredi Faizi</t>
  </si>
  <si>
    <t>Yeni Kredi Alımı</t>
  </si>
  <si>
    <t>FIN BÜTÇESİ</t>
  </si>
  <si>
    <t>KREDİ FAİZLERİ</t>
  </si>
  <si>
    <t>KOMİSYONLAR</t>
  </si>
  <si>
    <t>DİĞER</t>
  </si>
  <si>
    <t>Mevduat Faizi</t>
  </si>
  <si>
    <t>Uzun Vadeli Yab. Kayn.</t>
  </si>
  <si>
    <t>Ekipman Borcu</t>
  </si>
  <si>
    <t>FIN</t>
  </si>
  <si>
    <t>Sermaye Arttırımı</t>
  </si>
  <si>
    <t>Satışlardan Nakit Girişi</t>
  </si>
  <si>
    <t>Uzun Vadeli Kredi Alımı</t>
  </si>
  <si>
    <t>Gayrimenkul Alımı</t>
  </si>
  <si>
    <t>Toplam Nakit Girişi</t>
  </si>
  <si>
    <t>NAKİT AKIMI TABLOSU</t>
  </si>
  <si>
    <t>Uzun Vadeli Banka Borcu</t>
  </si>
  <si>
    <t>Diğer Gayrimenkul</t>
  </si>
  <si>
    <t>Eski Alınan Ekipman Taksidi</t>
  </si>
  <si>
    <t>NET KARLILIK</t>
  </si>
  <si>
    <t>CARİ ORAN</t>
  </si>
  <si>
    <t>VADELERİ İKİ AYA YAYIN</t>
  </si>
  <si>
    <t>MEVDUAT FAİZİ VERİN</t>
  </si>
  <si>
    <t>Uzun Vadeli Borç Alımı</t>
  </si>
  <si>
    <t>BİR BİRİM HAMMADDE</t>
  </si>
  <si>
    <t>BİRİM STOK MALİYETİ ( $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</si>
</sst>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1" fillId="0" borderId="0" xfId="0" applyNumberFormat="1" applyFont="1"/>
    <xf numFmtId="0" fontId="0" fillId="0" borderId="0" xfId="0" applyFont="1"/>
    <xf numFmtId="4" fontId="0" fillId="0" borderId="0" xfId="0" applyNumberFormat="1"/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3" fontId="0" fillId="2" borderId="0" xfId="0" applyNumberFormat="1" applyFont="1" applyFill="1"/>
    <xf numFmtId="3" fontId="1" fillId="2" borderId="0" xfId="0" applyNumberFormat="1" applyFont="1" applyFill="1"/>
    <xf numFmtId="4" fontId="0" fillId="0" borderId="0" xfId="0" applyNumberFormat="1" applyAlignment="1">
      <alignment horizontal="right"/>
    </xf>
    <xf numFmtId="3" fontId="0" fillId="0" borderId="0" xfId="0" applyNumberFormat="1" applyFill="1"/>
    <xf numFmtId="0" fontId="0" fillId="0" borderId="0" xfId="0" applyFill="1"/>
    <xf numFmtId="3" fontId="1" fillId="0" borderId="0" xfId="0" applyNumberFormat="1" applyFont="1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3:G17"/>
  <sheetViews>
    <sheetView topLeftCell="A2" zoomScale="140" zoomScaleNormal="140" workbookViewId="0">
      <selection activeCell="E8" sqref="E8"/>
    </sheetView>
  </sheetViews>
  <sheetFormatPr defaultRowHeight="15" x14ac:dyDescent="0.25"/>
  <cols>
    <col min="1" max="1" width="4.42578125" customWidth="1"/>
    <col min="2" max="2" width="27.28515625" customWidth="1"/>
    <col min="4" max="4" width="4.140625" customWidth="1"/>
    <col min="5" max="5" width="27.42578125" customWidth="1"/>
  </cols>
  <sheetData>
    <row r="3" spans="2:7" x14ac:dyDescent="0.25">
      <c r="B3" s="9" t="s">
        <v>105</v>
      </c>
      <c r="C3" s="9"/>
      <c r="D3" s="10"/>
      <c r="E3" s="10"/>
      <c r="F3" s="10"/>
      <c r="G3" s="10"/>
    </row>
    <row r="4" spans="2:7" x14ac:dyDescent="0.25">
      <c r="B4" s="10"/>
      <c r="C4" s="10"/>
      <c r="D4" s="10"/>
      <c r="E4" s="10"/>
      <c r="F4" s="10"/>
      <c r="G4" s="10"/>
    </row>
    <row r="5" spans="2:7" x14ac:dyDescent="0.25">
      <c r="B5" s="10" t="s">
        <v>15</v>
      </c>
      <c r="C5" s="11">
        <v>40000</v>
      </c>
      <c r="D5" s="11"/>
      <c r="E5" s="11" t="s">
        <v>36</v>
      </c>
      <c r="F5" s="10">
        <v>0</v>
      </c>
      <c r="G5" s="10"/>
    </row>
    <row r="6" spans="2:7" x14ac:dyDescent="0.25">
      <c r="B6" s="10" t="s">
        <v>16</v>
      </c>
      <c r="C6" s="11">
        <v>30000</v>
      </c>
      <c r="D6" s="11"/>
      <c r="E6" s="11" t="s">
        <v>35</v>
      </c>
      <c r="F6" s="11">
        <v>12000</v>
      </c>
      <c r="G6" s="10"/>
    </row>
    <row r="7" spans="2:7" x14ac:dyDescent="0.25">
      <c r="B7" s="10" t="s">
        <v>17</v>
      </c>
      <c r="C7" s="11">
        <v>24000</v>
      </c>
      <c r="D7" s="11"/>
      <c r="E7" s="12" t="s">
        <v>141</v>
      </c>
      <c r="F7" s="11">
        <v>192500</v>
      </c>
      <c r="G7" s="10"/>
    </row>
    <row r="8" spans="2:7" x14ac:dyDescent="0.25">
      <c r="B8" s="9" t="s">
        <v>18</v>
      </c>
      <c r="C8" s="11">
        <f>SUM(C5:C7)</f>
        <v>94000</v>
      </c>
      <c r="D8" s="11"/>
      <c r="E8" s="13" t="s">
        <v>37</v>
      </c>
      <c r="F8" s="11">
        <f>SUM(F5:F7)</f>
        <v>204500</v>
      </c>
      <c r="G8" s="10"/>
    </row>
    <row r="9" spans="2:7" x14ac:dyDescent="0.25">
      <c r="B9" s="10"/>
      <c r="C9" s="11"/>
      <c r="D9" s="11"/>
      <c r="E9" s="11"/>
      <c r="F9" s="11"/>
      <c r="G9" s="10"/>
    </row>
    <row r="10" spans="2:7" x14ac:dyDescent="0.25">
      <c r="B10" s="10" t="s">
        <v>19</v>
      </c>
      <c r="C10" s="11">
        <v>50000</v>
      </c>
      <c r="D10" s="11"/>
      <c r="E10" s="10"/>
      <c r="F10" s="10"/>
      <c r="G10" s="10"/>
    </row>
    <row r="11" spans="2:7" x14ac:dyDescent="0.25">
      <c r="B11" s="10" t="s">
        <v>20</v>
      </c>
      <c r="C11" s="11">
        <v>174500</v>
      </c>
      <c r="D11" s="11"/>
      <c r="E11" s="10"/>
      <c r="F11" s="10"/>
      <c r="G11" s="10"/>
    </row>
    <row r="12" spans="2:7" x14ac:dyDescent="0.25">
      <c r="B12" s="10" t="s">
        <v>43</v>
      </c>
      <c r="C12" s="11">
        <v>192500</v>
      </c>
      <c r="D12" s="11"/>
      <c r="E12" s="11" t="s">
        <v>38</v>
      </c>
      <c r="F12" s="11">
        <v>158350</v>
      </c>
      <c r="G12" s="10"/>
    </row>
    <row r="13" spans="2:7" x14ac:dyDescent="0.25">
      <c r="B13" s="10" t="s">
        <v>21</v>
      </c>
      <c r="C13" s="11">
        <f>SUM(C10:C12)</f>
        <v>417000</v>
      </c>
      <c r="D13" s="11"/>
      <c r="E13" s="11" t="s">
        <v>39</v>
      </c>
      <c r="F13" s="11">
        <v>148150</v>
      </c>
      <c r="G13" s="10"/>
    </row>
    <row r="14" spans="2:7" x14ac:dyDescent="0.25">
      <c r="B14" s="10" t="s">
        <v>22</v>
      </c>
      <c r="C14" s="11">
        <v>0</v>
      </c>
      <c r="D14" s="11"/>
      <c r="E14" s="11" t="s">
        <v>40</v>
      </c>
      <c r="F14" s="11">
        <v>0</v>
      </c>
      <c r="G14" s="10"/>
    </row>
    <row r="15" spans="2:7" x14ac:dyDescent="0.25">
      <c r="B15" s="9" t="s">
        <v>23</v>
      </c>
      <c r="C15" s="11">
        <f>C13-C14</f>
        <v>417000</v>
      </c>
      <c r="D15" s="11"/>
      <c r="E15" s="13" t="s">
        <v>41</v>
      </c>
      <c r="F15" s="11">
        <f>SUM(F12:F14)</f>
        <v>306500</v>
      </c>
      <c r="G15" s="10"/>
    </row>
    <row r="16" spans="2:7" x14ac:dyDescent="0.25">
      <c r="B16" s="10"/>
      <c r="C16" s="11"/>
      <c r="D16" s="11"/>
      <c r="E16" s="11"/>
      <c r="F16" s="11"/>
      <c r="G16" s="10"/>
    </row>
    <row r="17" spans="2:7" x14ac:dyDescent="0.25">
      <c r="B17" s="9" t="s">
        <v>24</v>
      </c>
      <c r="C17" s="11">
        <f>C8+C15</f>
        <v>511000</v>
      </c>
      <c r="D17" s="11"/>
      <c r="E17" s="13" t="s">
        <v>42</v>
      </c>
      <c r="F17" s="11">
        <f>F8+F15</f>
        <v>511000</v>
      </c>
      <c r="G17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7"/>
  <sheetViews>
    <sheetView workbookViewId="0">
      <selection activeCell="F7" sqref="F7"/>
    </sheetView>
  </sheetViews>
  <sheetFormatPr defaultRowHeight="15" x14ac:dyDescent="0.25"/>
  <cols>
    <col min="1" max="1" width="6" customWidth="1"/>
    <col min="2" max="2" width="23.7109375" customWidth="1"/>
  </cols>
  <sheetData>
    <row r="3" spans="2:6" x14ac:dyDescent="0.25">
      <c r="B3" s="1" t="s">
        <v>135</v>
      </c>
      <c r="C3" s="4" t="s">
        <v>28</v>
      </c>
      <c r="D3" s="4" t="s">
        <v>29</v>
      </c>
      <c r="E3" s="4" t="s">
        <v>30</v>
      </c>
      <c r="F3" s="2" t="s">
        <v>93</v>
      </c>
    </row>
    <row r="4" spans="2:6" x14ac:dyDescent="0.25">
      <c r="B4" t="s">
        <v>136</v>
      </c>
      <c r="C4" s="5">
        <v>0</v>
      </c>
      <c r="D4" s="5">
        <v>0</v>
      </c>
      <c r="E4" s="5">
        <v>0</v>
      </c>
      <c r="F4" s="5">
        <f>SUM(C4:E4)</f>
        <v>0</v>
      </c>
    </row>
    <row r="5" spans="2:6" x14ac:dyDescent="0.25">
      <c r="B5" t="s">
        <v>137</v>
      </c>
      <c r="C5" s="5">
        <v>0</v>
      </c>
      <c r="D5" s="5">
        <v>0</v>
      </c>
      <c r="E5" s="5">
        <v>0</v>
      </c>
      <c r="F5" s="5">
        <f t="shared" ref="F5:F6" si="0">SUM(C5:E5)</f>
        <v>0</v>
      </c>
    </row>
    <row r="6" spans="2:6" x14ac:dyDescent="0.25">
      <c r="B6" t="s">
        <v>138</v>
      </c>
      <c r="C6" s="5">
        <v>0</v>
      </c>
      <c r="D6" s="5">
        <v>0</v>
      </c>
      <c r="E6" s="5">
        <v>0</v>
      </c>
      <c r="F6" s="5">
        <f t="shared" si="0"/>
        <v>0</v>
      </c>
    </row>
    <row r="7" spans="2:6" x14ac:dyDescent="0.25">
      <c r="B7" s="2" t="s">
        <v>93</v>
      </c>
      <c r="C7" s="5">
        <f>SUM(C4:C6)</f>
        <v>0</v>
      </c>
      <c r="D7" s="5">
        <f t="shared" ref="D7:E7" si="1">SUM(D4:D6)</f>
        <v>0</v>
      </c>
      <c r="E7" s="5">
        <f t="shared" si="1"/>
        <v>0</v>
      </c>
      <c r="F7" s="5">
        <f>SUM(C7:E7)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13" zoomScale="140" zoomScaleNormal="140" workbookViewId="0">
      <selection activeCell="I23" sqref="I23"/>
    </sheetView>
  </sheetViews>
  <sheetFormatPr defaultRowHeight="15" x14ac:dyDescent="0.25"/>
  <cols>
    <col min="1" max="1" width="5.85546875" customWidth="1"/>
    <col min="2" max="2" width="24.7109375" customWidth="1"/>
  </cols>
  <sheetData>
    <row r="1" spans="2:5" x14ac:dyDescent="0.25">
      <c r="B1" s="1" t="s">
        <v>148</v>
      </c>
    </row>
    <row r="2" spans="2:5" x14ac:dyDescent="0.25">
      <c r="C2" s="2" t="s">
        <v>28</v>
      </c>
      <c r="D2" s="2" t="s">
        <v>29</v>
      </c>
      <c r="E2" s="2" t="s">
        <v>30</v>
      </c>
    </row>
    <row r="3" spans="2:5" x14ac:dyDescent="0.25">
      <c r="B3" s="1" t="s">
        <v>66</v>
      </c>
      <c r="C3" s="5">
        <f>'DB BİLANÇO'!C5</f>
        <v>40000</v>
      </c>
      <c r="D3" s="5">
        <f>C25</f>
        <v>29788.666673333333</v>
      </c>
      <c r="E3" s="5">
        <f>D25</f>
        <v>29788.666673333333</v>
      </c>
    </row>
    <row r="4" spans="2:5" x14ac:dyDescent="0.25">
      <c r="B4" t="s">
        <v>144</v>
      </c>
      <c r="C4" s="5">
        <f>SATIŞ!D17</f>
        <v>240000</v>
      </c>
      <c r="D4" s="5">
        <f>SATIŞ!E17</f>
        <v>615000</v>
      </c>
      <c r="E4" s="5">
        <f>SATIŞ!F17</f>
        <v>540000</v>
      </c>
    </row>
    <row r="5" spans="2:5" x14ac:dyDescent="0.25">
      <c r="B5" t="s">
        <v>145</v>
      </c>
      <c r="C5" s="5"/>
      <c r="D5" s="5"/>
      <c r="E5" s="5"/>
    </row>
    <row r="6" spans="2:5" x14ac:dyDescent="0.25">
      <c r="B6" t="s">
        <v>143</v>
      </c>
      <c r="C6" s="5"/>
      <c r="D6" s="5"/>
      <c r="E6" s="5"/>
    </row>
    <row r="7" spans="2:5" x14ac:dyDescent="0.25">
      <c r="B7" s="2" t="s">
        <v>147</v>
      </c>
      <c r="C7" s="5">
        <f>SUM(C3:C6)</f>
        <v>280000</v>
      </c>
      <c r="D7" s="5">
        <f t="shared" ref="D7:E7" si="0">SUM(D3:D6)</f>
        <v>644788.66667333338</v>
      </c>
      <c r="E7" s="5">
        <f t="shared" si="0"/>
        <v>569788.66667333338</v>
      </c>
    </row>
    <row r="9" spans="2:5" x14ac:dyDescent="0.25">
      <c r="B9" s="1" t="s">
        <v>67</v>
      </c>
    </row>
    <row r="10" spans="2:5" x14ac:dyDescent="0.25">
      <c r="B10" t="s">
        <v>68</v>
      </c>
      <c r="C10" s="5">
        <f>DİMM!D23</f>
        <v>90000</v>
      </c>
      <c r="D10" s="5">
        <f>DİMM!E23</f>
        <v>216000</v>
      </c>
      <c r="E10" s="5">
        <f>DİMM!F23</f>
        <v>225000</v>
      </c>
    </row>
    <row r="11" spans="2:5" x14ac:dyDescent="0.25">
      <c r="B11" t="s">
        <v>119</v>
      </c>
      <c r="C11" s="5">
        <f>GÜG!C9</f>
        <v>50000</v>
      </c>
      <c r="D11" s="5">
        <f>GÜG!D9</f>
        <v>80000</v>
      </c>
      <c r="E11" s="5">
        <f>GÜG!E9</f>
        <v>60000</v>
      </c>
    </row>
    <row r="12" spans="2:5" x14ac:dyDescent="0.25">
      <c r="B12" t="s">
        <v>69</v>
      </c>
      <c r="C12" s="5">
        <f>PSD!C9</f>
        <v>39000</v>
      </c>
      <c r="D12" s="5">
        <f>PSD!D9</f>
        <v>69000</v>
      </c>
      <c r="E12" s="5">
        <f>PSD!E9</f>
        <v>49000</v>
      </c>
    </row>
    <row r="13" spans="2:5" x14ac:dyDescent="0.25">
      <c r="B13" t="s">
        <v>70</v>
      </c>
      <c r="C13" s="5">
        <f>GYG!C9</f>
        <v>39000</v>
      </c>
      <c r="D13" s="5">
        <f>GYG!D9</f>
        <v>54000</v>
      </c>
      <c r="E13" s="5">
        <f>GYG!E9</f>
        <v>44000</v>
      </c>
    </row>
    <row r="14" spans="2:5" x14ac:dyDescent="0.25">
      <c r="B14" t="s">
        <v>132</v>
      </c>
      <c r="C14" s="5">
        <f>FIN!C7</f>
        <v>0</v>
      </c>
      <c r="D14" s="5">
        <f>FIN!D7</f>
        <v>0</v>
      </c>
      <c r="E14" s="5">
        <f>FIN!E7</f>
        <v>0</v>
      </c>
    </row>
    <row r="15" spans="2:5" x14ac:dyDescent="0.25">
      <c r="B15" t="s">
        <v>71</v>
      </c>
      <c r="C15">
        <v>0</v>
      </c>
      <c r="D15" s="5">
        <f>Varsayımlar!D40</f>
        <v>143700</v>
      </c>
      <c r="E15" s="5">
        <f>Varsayımlar!E40</f>
        <v>48800</v>
      </c>
    </row>
    <row r="16" spans="2:5" x14ac:dyDescent="0.25">
      <c r="B16" t="s">
        <v>72</v>
      </c>
      <c r="C16" s="5">
        <f>Varsayımlar!C39</f>
        <v>51000</v>
      </c>
    </row>
    <row r="17" spans="2:5" x14ac:dyDescent="0.25">
      <c r="B17" t="s">
        <v>146</v>
      </c>
      <c r="C17" s="5"/>
      <c r="D17" s="5">
        <f>Varsayımlar!D43</f>
        <v>150000</v>
      </c>
    </row>
    <row r="18" spans="2:5" x14ac:dyDescent="0.25">
      <c r="B18" s="2" t="s">
        <v>73</v>
      </c>
      <c r="C18" s="5">
        <f>SUM(C10:C17)</f>
        <v>269000</v>
      </c>
      <c r="D18" s="5">
        <f>SUM(D10:D17)</f>
        <v>712700</v>
      </c>
      <c r="E18" s="5">
        <f>SUM(E10:E17)</f>
        <v>426800</v>
      </c>
    </row>
    <row r="19" spans="2:5" x14ac:dyDescent="0.25">
      <c r="C19" s="5"/>
      <c r="D19" s="5"/>
      <c r="E19" s="5"/>
    </row>
    <row r="20" spans="2:5" x14ac:dyDescent="0.25">
      <c r="B20" t="s">
        <v>74</v>
      </c>
      <c r="C20" s="5">
        <f>C7-C18</f>
        <v>11000</v>
      </c>
      <c r="D20" s="5">
        <f>D7-D18</f>
        <v>-67911.333326666616</v>
      </c>
      <c r="E20" s="5">
        <f>E7-E18</f>
        <v>142988.66667333338</v>
      </c>
    </row>
    <row r="21" spans="2:5" x14ac:dyDescent="0.25">
      <c r="B21" t="s">
        <v>134</v>
      </c>
      <c r="C21" s="5">
        <f>IF(C20&gt;30000,0,-(C20-30000))</f>
        <v>19000</v>
      </c>
      <c r="D21" s="5">
        <f t="shared" ref="D21:E21" si="1">IF(D20&gt;30000,0,-(D20-30000))</f>
        <v>97911.333326666616</v>
      </c>
      <c r="E21" s="5">
        <f t="shared" si="1"/>
        <v>0</v>
      </c>
    </row>
    <row r="22" spans="2:5" x14ac:dyDescent="0.25">
      <c r="B22" t="s">
        <v>133</v>
      </c>
      <c r="C22" s="5">
        <f>-C21*Varsayımlar!E37/12</f>
        <v>-211.33332666666669</v>
      </c>
      <c r="D22" s="5">
        <f>C22+D21*Varsayımlar!F37/12</f>
        <v>-211.33332666666669</v>
      </c>
      <c r="E22" s="5">
        <f>D22+E21*Varsayımlar!G37/12</f>
        <v>-211.33332666666669</v>
      </c>
    </row>
    <row r="23" spans="2:5" x14ac:dyDescent="0.25">
      <c r="B23" t="s">
        <v>131</v>
      </c>
      <c r="C23" s="5">
        <f>IF(C20&gt;30000,C20-30000,0)</f>
        <v>0</v>
      </c>
      <c r="D23" s="5">
        <f>IF(D20&gt;30000,D20-30000,0)</f>
        <v>0</v>
      </c>
      <c r="E23" s="5">
        <f>IF(E20&gt;30000,E20-30000,0)</f>
        <v>112988.66667333338</v>
      </c>
    </row>
    <row r="24" spans="2:5" x14ac:dyDescent="0.25">
      <c r="B24" t="s">
        <v>139</v>
      </c>
      <c r="C24" s="5"/>
      <c r="D24" s="5"/>
      <c r="E24" s="5"/>
    </row>
    <row r="25" spans="2:5" x14ac:dyDescent="0.25">
      <c r="B25" t="s">
        <v>75</v>
      </c>
      <c r="C25" s="5">
        <f>C20+C21+C22-C23+C24</f>
        <v>29788.666673333333</v>
      </c>
      <c r="D25" s="5">
        <f t="shared" ref="D25:E25" si="2">D20+D21+D22-D23+D24</f>
        <v>29788.666673333333</v>
      </c>
      <c r="E25" s="5">
        <f t="shared" si="2"/>
        <v>29788.666673333326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zoomScale="120" zoomScaleNormal="120" workbookViewId="0">
      <selection activeCell="D14" sqref="D14"/>
    </sheetView>
  </sheetViews>
  <sheetFormatPr defaultRowHeight="15" x14ac:dyDescent="0.25"/>
  <cols>
    <col min="2" max="2" width="30.28515625" customWidth="1"/>
    <col min="3" max="3" width="12.7109375" customWidth="1"/>
  </cols>
  <sheetData>
    <row r="2" spans="2:4" x14ac:dyDescent="0.25">
      <c r="B2" s="1" t="s">
        <v>80</v>
      </c>
    </row>
    <row r="4" spans="2:4" x14ac:dyDescent="0.25">
      <c r="B4" t="s">
        <v>81</v>
      </c>
      <c r="C4" s="5">
        <f>SATIŞ!D9+SATIŞ!E9+SATIŞ!F9</f>
        <v>1500000</v>
      </c>
    </row>
    <row r="5" spans="2:4" x14ac:dyDescent="0.25">
      <c r="B5" t="s">
        <v>82</v>
      </c>
      <c r="C5">
        <v>0</v>
      </c>
    </row>
    <row r="6" spans="2:4" x14ac:dyDescent="0.25">
      <c r="B6" t="s">
        <v>92</v>
      </c>
      <c r="C6" s="5">
        <f>C4-C5</f>
        <v>1500000</v>
      </c>
    </row>
    <row r="7" spans="2:4" x14ac:dyDescent="0.25">
      <c r="B7" t="s">
        <v>118</v>
      </c>
      <c r="C7" s="5">
        <f>SMM!F10</f>
        <v>850000</v>
      </c>
    </row>
    <row r="8" spans="2:4" x14ac:dyDescent="0.25">
      <c r="B8" t="s">
        <v>83</v>
      </c>
      <c r="C8" s="5">
        <f>C6-C7</f>
        <v>650000</v>
      </c>
    </row>
    <row r="9" spans="2:4" x14ac:dyDescent="0.25">
      <c r="B9" t="s">
        <v>84</v>
      </c>
      <c r="C9" s="5">
        <f>(PSD!F9+PSD!F8)+(GYG!F9+GYG!F8)</f>
        <v>300000</v>
      </c>
    </row>
    <row r="10" spans="2:4" x14ac:dyDescent="0.25">
      <c r="B10" t="s">
        <v>85</v>
      </c>
      <c r="C10" s="5">
        <f>C8-C9</f>
        <v>350000</v>
      </c>
    </row>
    <row r="11" spans="2:4" x14ac:dyDescent="0.25">
      <c r="B11" t="s">
        <v>86</v>
      </c>
      <c r="C11" s="5">
        <f>FIN!F7-('NAKİT A.'!C22+'NAKİT A.'!D22+'NAKİT A.'!E22)</f>
        <v>633.99998000000005</v>
      </c>
    </row>
    <row r="12" spans="2:4" x14ac:dyDescent="0.25">
      <c r="B12" t="s">
        <v>87</v>
      </c>
      <c r="C12" s="5">
        <f>C10-C11</f>
        <v>349366.00001999998</v>
      </c>
    </row>
    <row r="13" spans="2:4" x14ac:dyDescent="0.25">
      <c r="B13" t="s">
        <v>88</v>
      </c>
      <c r="C13" s="5">
        <f>C12*Varsayımlar!E46</f>
        <v>69873.200003999998</v>
      </c>
    </row>
    <row r="14" spans="2:4" x14ac:dyDescent="0.25">
      <c r="B14" t="s">
        <v>89</v>
      </c>
      <c r="C14" s="5">
        <f>C12-C13</f>
        <v>279492.80001599999</v>
      </c>
      <c r="D14" s="18">
        <f>C14/C6</f>
        <v>0.18632853334399999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0"/>
  <sheetViews>
    <sheetView topLeftCell="A4" zoomScale="130" zoomScaleNormal="130" workbookViewId="0">
      <selection activeCell="F20" sqref="F20"/>
    </sheetView>
  </sheetViews>
  <sheetFormatPr defaultRowHeight="15" x14ac:dyDescent="0.25"/>
  <cols>
    <col min="1" max="1" width="3.140625" customWidth="1"/>
    <col min="2" max="2" width="22.5703125" customWidth="1"/>
    <col min="4" max="4" width="4.5703125" customWidth="1"/>
    <col min="5" max="5" width="22.5703125" customWidth="1"/>
  </cols>
  <sheetData>
    <row r="3" spans="2:8" x14ac:dyDescent="0.25">
      <c r="B3" s="1" t="s">
        <v>95</v>
      </c>
    </row>
    <row r="4" spans="2:8" x14ac:dyDescent="0.25">
      <c r="B4" s="1" t="s">
        <v>18</v>
      </c>
      <c r="C4" s="6">
        <f>SUM(C5:C8)</f>
        <v>307777.33334666671</v>
      </c>
      <c r="E4" s="17" t="s">
        <v>37</v>
      </c>
      <c r="F4" s="17">
        <f>SUM(F5:F8)</f>
        <v>273784.5333306666</v>
      </c>
    </row>
    <row r="5" spans="2:8" x14ac:dyDescent="0.25">
      <c r="B5" t="s">
        <v>15</v>
      </c>
      <c r="C5" s="5">
        <f>'NAKİT A.'!E25</f>
        <v>29788.666673333326</v>
      </c>
      <c r="D5" s="5"/>
      <c r="E5" s="16" t="s">
        <v>104</v>
      </c>
      <c r="F5" s="15">
        <f>'NAKİT A.'!C21+'NAKİT A.'!D21+'NAKİT A.'!E21</f>
        <v>116911.33332666662</v>
      </c>
    </row>
    <row r="6" spans="2:8" x14ac:dyDescent="0.25">
      <c r="B6" t="s">
        <v>131</v>
      </c>
      <c r="C6" s="5">
        <f>'NAKİT A.'!C23+'NAKİT A.'!D23+'NAKİT A.'!E23</f>
        <v>112988.66667333338</v>
      </c>
      <c r="D6" s="5"/>
      <c r="E6" s="15" t="s">
        <v>35</v>
      </c>
      <c r="F6" s="15">
        <f>DİMM!G23</f>
        <v>87000</v>
      </c>
    </row>
    <row r="7" spans="2:8" x14ac:dyDescent="0.25">
      <c r="B7" t="s">
        <v>16</v>
      </c>
      <c r="C7" s="5">
        <f>SATIŞ!G17</f>
        <v>135000</v>
      </c>
      <c r="D7" s="5"/>
      <c r="E7" s="15" t="s">
        <v>94</v>
      </c>
      <c r="F7" s="15">
        <f>'KAR-ZARAR'!C13</f>
        <v>69873.200003999998</v>
      </c>
    </row>
    <row r="8" spans="2:8" x14ac:dyDescent="0.25">
      <c r="B8" t="s">
        <v>17</v>
      </c>
      <c r="C8" s="5">
        <f>STOK!E21</f>
        <v>30000</v>
      </c>
      <c r="D8" s="5"/>
      <c r="E8" s="16" t="s">
        <v>141</v>
      </c>
      <c r="F8" s="5">
        <f>'DB BİLANÇO'!F7-Varsayımlar!D40-Varsayımlar!E40</f>
        <v>0</v>
      </c>
      <c r="H8" s="18">
        <f>C4/F4</f>
        <v>1.124158949384277</v>
      </c>
    </row>
    <row r="9" spans="2:8" x14ac:dyDescent="0.25">
      <c r="D9" s="5"/>
      <c r="G9" s="8" t="s">
        <v>6</v>
      </c>
    </row>
    <row r="10" spans="2:8" x14ac:dyDescent="0.25">
      <c r="B10" s="1" t="s">
        <v>23</v>
      </c>
      <c r="C10" s="6">
        <f>C15-C16</f>
        <v>501000</v>
      </c>
      <c r="D10" s="5"/>
      <c r="E10" s="17" t="s">
        <v>140</v>
      </c>
      <c r="F10" s="17">
        <f>F11</f>
        <v>0</v>
      </c>
    </row>
    <row r="11" spans="2:8" x14ac:dyDescent="0.25">
      <c r="B11" t="s">
        <v>19</v>
      </c>
      <c r="C11" s="5">
        <f>'DB BİLANÇO'!C10</f>
        <v>50000</v>
      </c>
      <c r="D11" s="5"/>
      <c r="E11" s="16" t="s">
        <v>149</v>
      </c>
      <c r="F11" s="15">
        <v>0</v>
      </c>
    </row>
    <row r="12" spans="2:8" x14ac:dyDescent="0.25">
      <c r="B12" t="s">
        <v>20</v>
      </c>
      <c r="C12" s="5">
        <f>'DB BİLANÇO'!C11</f>
        <v>174500</v>
      </c>
      <c r="D12" s="5"/>
    </row>
    <row r="13" spans="2:8" x14ac:dyDescent="0.25">
      <c r="B13" t="s">
        <v>43</v>
      </c>
      <c r="C13" s="5">
        <f>'DB BİLANÇO'!C12</f>
        <v>192500</v>
      </c>
      <c r="D13" s="5"/>
      <c r="E13" s="6" t="s">
        <v>41</v>
      </c>
      <c r="F13" s="6">
        <f>SUM(F14:F16)</f>
        <v>534992.80001599994</v>
      </c>
    </row>
    <row r="14" spans="2:8" x14ac:dyDescent="0.25">
      <c r="B14" t="s">
        <v>150</v>
      </c>
      <c r="C14" s="5">
        <f>Varsayımlar!D43</f>
        <v>150000</v>
      </c>
      <c r="D14" s="5"/>
      <c r="E14" s="15" t="s">
        <v>38</v>
      </c>
      <c r="F14" s="15">
        <f>'DB BİLANÇO'!F12</f>
        <v>158350</v>
      </c>
    </row>
    <row r="15" spans="2:8" x14ac:dyDescent="0.25">
      <c r="B15" t="s">
        <v>21</v>
      </c>
      <c r="C15" s="5">
        <f>SUM(C11:C14)</f>
        <v>567000</v>
      </c>
      <c r="D15" s="5"/>
      <c r="E15" s="15" t="s">
        <v>39</v>
      </c>
      <c r="F15" s="15">
        <f>'DB BİLANÇO'!F13-'NAKİT A.'!C16</f>
        <v>97150</v>
      </c>
      <c r="G15" s="5" t="s">
        <v>6</v>
      </c>
    </row>
    <row r="16" spans="2:8" x14ac:dyDescent="0.25">
      <c r="B16" t="s">
        <v>22</v>
      </c>
      <c r="C16" s="5">
        <f>GÜG!F8+PSD!F8+GYG!F8</f>
        <v>66000</v>
      </c>
      <c r="D16" s="5"/>
      <c r="E16" s="15" t="s">
        <v>40</v>
      </c>
      <c r="F16" s="15">
        <f>'KAR-ZARAR'!C14</f>
        <v>279492.80001599999</v>
      </c>
    </row>
    <row r="17" spans="2:6" x14ac:dyDescent="0.25">
      <c r="C17" s="5"/>
      <c r="D17" s="5"/>
      <c r="E17" s="5"/>
      <c r="F17" s="5"/>
    </row>
    <row r="18" spans="2:6" x14ac:dyDescent="0.25">
      <c r="B18" s="1" t="s">
        <v>24</v>
      </c>
      <c r="C18" s="6">
        <f>C4+C10</f>
        <v>808777.33334666677</v>
      </c>
      <c r="D18" s="5"/>
      <c r="E18" s="6" t="s">
        <v>42</v>
      </c>
      <c r="F18" s="6">
        <f>F4+F10+F13</f>
        <v>808777.33334666654</v>
      </c>
    </row>
    <row r="20" spans="2:6" x14ac:dyDescent="0.25">
      <c r="F20" s="11">
        <f>F18-C18</f>
        <v>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"/>
  <sheetViews>
    <sheetView workbookViewId="0">
      <selection activeCell="A8" sqref="A8"/>
    </sheetView>
  </sheetViews>
  <sheetFormatPr defaultRowHeight="15" x14ac:dyDescent="0.25"/>
  <cols>
    <col min="2" max="2" width="18.7109375" customWidth="1"/>
    <col min="5" max="5" width="13.85546875" customWidth="1"/>
  </cols>
  <sheetData>
    <row r="3" spans="1:6" x14ac:dyDescent="0.25">
      <c r="A3">
        <v>1</v>
      </c>
      <c r="B3" t="s">
        <v>152</v>
      </c>
      <c r="C3" s="8">
        <v>0.1</v>
      </c>
      <c r="E3" t="s">
        <v>153</v>
      </c>
      <c r="F3" s="8">
        <v>1.5</v>
      </c>
    </row>
    <row r="4" spans="1:6" x14ac:dyDescent="0.25">
      <c r="C4" s="8"/>
      <c r="F4" s="8"/>
    </row>
    <row r="5" spans="1:6" x14ac:dyDescent="0.25">
      <c r="A5">
        <v>2</v>
      </c>
      <c r="B5" t="s">
        <v>154</v>
      </c>
    </row>
    <row r="7" spans="1:6" x14ac:dyDescent="0.25">
      <c r="A7">
        <v>3</v>
      </c>
      <c r="B7" t="s">
        <v>155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6"/>
  <sheetViews>
    <sheetView topLeftCell="A31" zoomScaleNormal="100" workbookViewId="0">
      <selection activeCell="K9" sqref="K9"/>
    </sheetView>
  </sheetViews>
  <sheetFormatPr defaultRowHeight="15" x14ac:dyDescent="0.25"/>
  <cols>
    <col min="1" max="1" width="1.7109375" customWidth="1"/>
    <col min="2" max="2" width="26.85546875" customWidth="1"/>
    <col min="7" max="7" width="9.140625" customWidth="1"/>
    <col min="8" max="8" width="20.85546875" customWidth="1"/>
    <col min="10" max="10" width="2.28515625" customWidth="1"/>
    <col min="11" max="11" width="22" customWidth="1"/>
  </cols>
  <sheetData>
    <row r="2" spans="2:7" x14ac:dyDescent="0.25">
      <c r="B2" s="1" t="s">
        <v>0</v>
      </c>
      <c r="C2" s="3" t="s">
        <v>28</v>
      </c>
      <c r="D2" s="3" t="s">
        <v>29</v>
      </c>
      <c r="E2" s="3" t="s">
        <v>30</v>
      </c>
      <c r="F2" s="3" t="s">
        <v>31</v>
      </c>
      <c r="G2" s="1"/>
    </row>
    <row r="3" spans="2:7" x14ac:dyDescent="0.25">
      <c r="B3" t="s">
        <v>32</v>
      </c>
      <c r="C3" s="5">
        <v>2000</v>
      </c>
      <c r="D3" s="5">
        <v>5000</v>
      </c>
      <c r="E3" s="5">
        <v>3000</v>
      </c>
      <c r="F3" s="5">
        <v>2500</v>
      </c>
    </row>
    <row r="4" spans="2:7" x14ac:dyDescent="0.25">
      <c r="B4" t="s">
        <v>26</v>
      </c>
      <c r="C4">
        <v>150</v>
      </c>
      <c r="D4">
        <v>150</v>
      </c>
      <c r="E4">
        <v>150</v>
      </c>
      <c r="F4">
        <v>150</v>
      </c>
    </row>
    <row r="5" spans="2:7" x14ac:dyDescent="0.25">
      <c r="B5" t="s">
        <v>27</v>
      </c>
      <c r="C5">
        <v>60</v>
      </c>
      <c r="D5">
        <v>60</v>
      </c>
      <c r="E5" s="16">
        <v>60</v>
      </c>
      <c r="F5" t="s">
        <v>6</v>
      </c>
    </row>
    <row r="7" spans="2:7" x14ac:dyDescent="0.25">
      <c r="B7" s="1" t="s">
        <v>120</v>
      </c>
      <c r="C7" s="2" t="s">
        <v>28</v>
      </c>
      <c r="D7" s="2" t="s">
        <v>29</v>
      </c>
      <c r="E7" s="2" t="s">
        <v>30</v>
      </c>
      <c r="F7" s="2" t="s">
        <v>31</v>
      </c>
    </row>
    <row r="8" spans="2:7" x14ac:dyDescent="0.25">
      <c r="B8" t="s">
        <v>47</v>
      </c>
      <c r="C8" s="8">
        <v>0.2</v>
      </c>
      <c r="D8" s="8">
        <v>0.2</v>
      </c>
      <c r="E8" s="8">
        <v>0.2</v>
      </c>
      <c r="F8" s="8">
        <v>0.2</v>
      </c>
    </row>
    <row r="9" spans="2:7" x14ac:dyDescent="0.25">
      <c r="B9" t="s">
        <v>121</v>
      </c>
      <c r="C9" s="5">
        <v>400</v>
      </c>
      <c r="D9" s="14" t="s">
        <v>6</v>
      </c>
      <c r="E9" s="8"/>
      <c r="F9" s="8"/>
    </row>
    <row r="11" spans="2:7" x14ac:dyDescent="0.25">
      <c r="B11" s="1" t="s">
        <v>103</v>
      </c>
      <c r="C11" s="2" t="s">
        <v>11</v>
      </c>
      <c r="D11" s="2" t="s">
        <v>12</v>
      </c>
      <c r="E11" s="2" t="s">
        <v>100</v>
      </c>
    </row>
    <row r="12" spans="2:7" x14ac:dyDescent="0.25">
      <c r="B12" t="s">
        <v>10</v>
      </c>
      <c r="C12">
        <v>0.7</v>
      </c>
      <c r="D12">
        <v>0.3</v>
      </c>
    </row>
    <row r="13" spans="2:7" x14ac:dyDescent="0.25">
      <c r="B13" t="s">
        <v>13</v>
      </c>
      <c r="C13">
        <v>0.5</v>
      </c>
      <c r="D13">
        <v>0.5</v>
      </c>
    </row>
    <row r="15" spans="2:7" x14ac:dyDescent="0.25">
      <c r="B15" s="1" t="s">
        <v>109</v>
      </c>
      <c r="C15" s="2" t="s">
        <v>28</v>
      </c>
      <c r="D15" s="2" t="s">
        <v>29</v>
      </c>
      <c r="E15" s="2" t="s">
        <v>30</v>
      </c>
    </row>
    <row r="16" spans="2:7" x14ac:dyDescent="0.25">
      <c r="B16" t="s">
        <v>106</v>
      </c>
      <c r="C16" s="5">
        <v>10</v>
      </c>
      <c r="D16" s="5">
        <v>10</v>
      </c>
      <c r="E16" s="5">
        <v>10</v>
      </c>
    </row>
    <row r="17" spans="2:9" x14ac:dyDescent="0.25">
      <c r="B17" t="s">
        <v>107</v>
      </c>
      <c r="C17" s="5">
        <v>20000</v>
      </c>
      <c r="D17" s="5">
        <v>20000</v>
      </c>
      <c r="E17" s="5">
        <v>20000</v>
      </c>
    </row>
    <row r="18" spans="2:9" x14ac:dyDescent="0.25">
      <c r="B18" t="s">
        <v>108</v>
      </c>
      <c r="C18" s="5">
        <v>30000</v>
      </c>
      <c r="D18" s="5">
        <v>30000</v>
      </c>
      <c r="E18" s="5">
        <v>30000</v>
      </c>
    </row>
    <row r="20" spans="2:9" x14ac:dyDescent="0.25">
      <c r="B20" s="1" t="s">
        <v>53</v>
      </c>
      <c r="C20" s="2" t="s">
        <v>28</v>
      </c>
      <c r="D20" s="2" t="s">
        <v>29</v>
      </c>
      <c r="E20" s="2" t="s">
        <v>30</v>
      </c>
    </row>
    <row r="21" spans="2:9" x14ac:dyDescent="0.25">
      <c r="B21" t="s">
        <v>106</v>
      </c>
      <c r="C21" s="5">
        <v>10</v>
      </c>
      <c r="D21" s="5">
        <v>10</v>
      </c>
      <c r="E21" s="5">
        <v>10</v>
      </c>
    </row>
    <row r="22" spans="2:9" x14ac:dyDescent="0.25">
      <c r="B22" t="s">
        <v>107</v>
      </c>
      <c r="C22" s="5">
        <v>1000</v>
      </c>
      <c r="D22" s="5">
        <v>1000</v>
      </c>
      <c r="E22" s="5">
        <v>1000</v>
      </c>
    </row>
    <row r="23" spans="2:9" x14ac:dyDescent="0.25">
      <c r="B23" t="s">
        <v>108</v>
      </c>
      <c r="C23" s="5">
        <v>19000</v>
      </c>
      <c r="D23" s="5">
        <v>19000</v>
      </c>
      <c r="E23" s="5">
        <v>19000</v>
      </c>
      <c r="F23" s="5"/>
      <c r="G23" s="5"/>
    </row>
    <row r="24" spans="2:9" x14ac:dyDescent="0.25">
      <c r="D24" s="5"/>
      <c r="E24" s="5"/>
      <c r="F24" s="5"/>
      <c r="G24" s="5"/>
    </row>
    <row r="25" spans="2:9" x14ac:dyDescent="0.25">
      <c r="B25" s="1" t="s">
        <v>54</v>
      </c>
      <c r="C25" s="2" t="s">
        <v>28</v>
      </c>
      <c r="D25" s="2" t="s">
        <v>29</v>
      </c>
      <c r="E25" s="2" t="s">
        <v>30</v>
      </c>
      <c r="F25" s="5"/>
      <c r="G25" s="5"/>
    </row>
    <row r="26" spans="2:9" x14ac:dyDescent="0.25">
      <c r="B26" t="s">
        <v>106</v>
      </c>
      <c r="C26" s="5">
        <v>5</v>
      </c>
      <c r="D26" s="5">
        <v>5</v>
      </c>
      <c r="E26" s="5">
        <v>5</v>
      </c>
      <c r="F26" s="5"/>
      <c r="G26" s="5"/>
      <c r="H26" s="5"/>
      <c r="I26" s="5"/>
    </row>
    <row r="27" spans="2:9" x14ac:dyDescent="0.25">
      <c r="B27" t="s">
        <v>107</v>
      </c>
      <c r="C27" s="5">
        <v>1000</v>
      </c>
      <c r="D27" s="5">
        <v>1000</v>
      </c>
      <c r="E27" s="5">
        <v>1000</v>
      </c>
      <c r="F27" s="5"/>
      <c r="G27" s="5"/>
      <c r="H27" s="5"/>
      <c r="I27" s="5"/>
    </row>
    <row r="28" spans="2:9" x14ac:dyDescent="0.25">
      <c r="B28" t="s">
        <v>108</v>
      </c>
      <c r="C28" s="5">
        <v>29000</v>
      </c>
      <c r="D28" s="5">
        <v>29000</v>
      </c>
      <c r="E28" s="5">
        <v>29000</v>
      </c>
      <c r="F28" s="5"/>
      <c r="G28" s="5"/>
      <c r="H28" s="5"/>
      <c r="I28" s="5"/>
    </row>
    <row r="29" spans="2:9" x14ac:dyDescent="0.25">
      <c r="D29" s="5"/>
      <c r="E29" s="5"/>
      <c r="F29" s="5"/>
      <c r="G29" s="5"/>
      <c r="H29" s="5"/>
      <c r="I29" s="5"/>
    </row>
    <row r="30" spans="2:9" x14ac:dyDescent="0.25">
      <c r="B30" s="1" t="s">
        <v>142</v>
      </c>
      <c r="C30" s="2" t="s">
        <v>28</v>
      </c>
      <c r="D30" s="2" t="s">
        <v>29</v>
      </c>
      <c r="E30" s="2" t="s">
        <v>30</v>
      </c>
      <c r="F30" s="5"/>
      <c r="G30" s="5"/>
      <c r="H30" s="5"/>
      <c r="I30" s="5"/>
    </row>
    <row r="31" spans="2:9" x14ac:dyDescent="0.25">
      <c r="B31" t="s">
        <v>106</v>
      </c>
      <c r="C31" s="5"/>
      <c r="D31" s="5"/>
      <c r="E31" s="5"/>
      <c r="F31" s="5"/>
      <c r="G31" s="5"/>
      <c r="H31" s="5"/>
      <c r="I31" s="5"/>
    </row>
    <row r="32" spans="2:9" x14ac:dyDescent="0.25">
      <c r="B32" t="s">
        <v>107</v>
      </c>
      <c r="C32" s="5"/>
      <c r="D32" s="5"/>
      <c r="E32" s="5"/>
      <c r="F32" s="5"/>
      <c r="G32" s="5"/>
      <c r="H32" s="5"/>
      <c r="I32" s="5"/>
    </row>
    <row r="33" spans="2:9" x14ac:dyDescent="0.25">
      <c r="B33" t="s">
        <v>108</v>
      </c>
      <c r="C33" s="5"/>
      <c r="D33" s="5"/>
      <c r="E33" s="5"/>
      <c r="F33" s="5"/>
      <c r="G33" s="5"/>
      <c r="H33" s="5"/>
      <c r="I33" s="5"/>
    </row>
    <row r="34" spans="2:9" x14ac:dyDescent="0.25">
      <c r="C34" s="5"/>
      <c r="D34" s="5"/>
      <c r="E34" s="5"/>
      <c r="F34" s="5"/>
      <c r="G34" s="5"/>
      <c r="H34" s="5"/>
      <c r="I34" s="5"/>
    </row>
    <row r="35" spans="2:9" x14ac:dyDescent="0.25">
      <c r="B35" s="1" t="s">
        <v>76</v>
      </c>
      <c r="H35" s="5"/>
      <c r="I35" s="5"/>
    </row>
    <row r="36" spans="2:9" x14ac:dyDescent="0.25">
      <c r="B36" t="s">
        <v>77</v>
      </c>
      <c r="E36" s="5">
        <v>30000</v>
      </c>
      <c r="F36" s="5"/>
      <c r="H36" s="5"/>
      <c r="I36" s="5"/>
    </row>
    <row r="37" spans="2:9" x14ac:dyDescent="0.25">
      <c r="B37" s="2" t="s">
        <v>78</v>
      </c>
      <c r="E37" s="8">
        <v>0.13347368000000001</v>
      </c>
      <c r="F37" s="5"/>
      <c r="H37" s="5"/>
      <c r="I37" s="5"/>
    </row>
    <row r="38" spans="2:9" x14ac:dyDescent="0.25">
      <c r="B38" s="2"/>
      <c r="C38" s="2" t="s">
        <v>28</v>
      </c>
      <c r="D38" s="2" t="s">
        <v>29</v>
      </c>
      <c r="E38" s="2" t="s">
        <v>30</v>
      </c>
      <c r="F38" s="5"/>
      <c r="H38" s="5"/>
      <c r="I38" s="5"/>
    </row>
    <row r="39" spans="2:9" x14ac:dyDescent="0.25">
      <c r="B39" t="s">
        <v>79</v>
      </c>
      <c r="C39" s="5">
        <v>51000</v>
      </c>
      <c r="D39" s="5"/>
      <c r="E39" s="5"/>
      <c r="F39" s="5"/>
      <c r="H39" s="5"/>
      <c r="I39" s="5"/>
    </row>
    <row r="40" spans="2:9" x14ac:dyDescent="0.25">
      <c r="B40" t="s">
        <v>151</v>
      </c>
      <c r="C40" s="5"/>
      <c r="D40" s="5">
        <v>143700</v>
      </c>
      <c r="E40" s="5">
        <v>48800</v>
      </c>
      <c r="H40" s="5"/>
      <c r="I40" s="5"/>
    </row>
    <row r="41" spans="2:9" x14ac:dyDescent="0.25">
      <c r="B41" t="s">
        <v>156</v>
      </c>
      <c r="C41" s="5"/>
      <c r="D41" s="5"/>
      <c r="E41" s="5"/>
      <c r="H41" s="5"/>
      <c r="I41" s="5"/>
    </row>
    <row r="42" spans="2:9" x14ac:dyDescent="0.25">
      <c r="B42" s="5" t="s">
        <v>143</v>
      </c>
      <c r="C42" s="5"/>
      <c r="D42" s="5"/>
      <c r="E42" s="5"/>
    </row>
    <row r="43" spans="2:9" x14ac:dyDescent="0.25">
      <c r="B43" s="5" t="s">
        <v>146</v>
      </c>
      <c r="C43" s="5"/>
      <c r="D43" s="5">
        <v>150000</v>
      </c>
      <c r="E43" s="5"/>
    </row>
    <row r="44" spans="2:9" x14ac:dyDescent="0.25">
      <c r="B44" s="5"/>
      <c r="C44" s="5"/>
      <c r="D44" s="5"/>
      <c r="E44" s="5"/>
    </row>
    <row r="45" spans="2:9" x14ac:dyDescent="0.25">
      <c r="B45" s="6" t="s">
        <v>90</v>
      </c>
      <c r="C45" s="5"/>
    </row>
    <row r="46" spans="2:9" x14ac:dyDescent="0.25">
      <c r="B46" s="5" t="s">
        <v>91</v>
      </c>
      <c r="C46" s="5"/>
      <c r="E46" s="8">
        <v>0.2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17"/>
  <sheetViews>
    <sheetView zoomScale="120" zoomScaleNormal="120" workbookViewId="0">
      <selection activeCell="E14" sqref="E14"/>
    </sheetView>
  </sheetViews>
  <sheetFormatPr defaultRowHeight="15" x14ac:dyDescent="0.25"/>
  <cols>
    <col min="2" max="2" width="23" customWidth="1"/>
    <col min="3" max="3" width="3" customWidth="1"/>
    <col min="7" max="7" width="9.140625" customWidth="1"/>
  </cols>
  <sheetData>
    <row r="5" spans="2:8" x14ac:dyDescent="0.25">
      <c r="B5" s="1" t="s">
        <v>0</v>
      </c>
    </row>
    <row r="6" spans="2:8" x14ac:dyDescent="0.25">
      <c r="B6" t="s">
        <v>6</v>
      </c>
      <c r="D6" s="3" t="s">
        <v>2</v>
      </c>
      <c r="E6" s="3" t="s">
        <v>3</v>
      </c>
      <c r="F6" s="3" t="s">
        <v>4</v>
      </c>
      <c r="G6" s="3" t="s">
        <v>5</v>
      </c>
      <c r="H6" s="2"/>
    </row>
    <row r="7" spans="2:8" x14ac:dyDescent="0.25">
      <c r="B7" t="s">
        <v>7</v>
      </c>
      <c r="D7" s="4">
        <f>Varsayımlar!C3</f>
        <v>2000</v>
      </c>
      <c r="E7" s="4">
        <f>Varsayımlar!D3</f>
        <v>5000</v>
      </c>
      <c r="F7" s="4">
        <f>Varsayımlar!E3</f>
        <v>3000</v>
      </c>
      <c r="G7" s="4">
        <f>Varsayımlar!F3</f>
        <v>2500</v>
      </c>
      <c r="H7" s="2"/>
    </row>
    <row r="8" spans="2:8" x14ac:dyDescent="0.25">
      <c r="B8" t="s">
        <v>8</v>
      </c>
      <c r="D8" s="4">
        <f>Varsayımlar!C4</f>
        <v>150</v>
      </c>
      <c r="E8" s="4">
        <f>Varsayımlar!D4</f>
        <v>150</v>
      </c>
      <c r="F8" s="4">
        <f>Varsayımlar!E4</f>
        <v>150</v>
      </c>
      <c r="G8" s="4">
        <f>Varsayımlar!F4</f>
        <v>150</v>
      </c>
      <c r="H8" s="2"/>
    </row>
    <row r="9" spans="2:8" x14ac:dyDescent="0.25">
      <c r="B9" t="s">
        <v>9</v>
      </c>
      <c r="D9" s="4">
        <f>D7*D8</f>
        <v>300000</v>
      </c>
      <c r="E9" s="4">
        <f t="shared" ref="E9:G9" si="0">E7*E8</f>
        <v>750000</v>
      </c>
      <c r="F9" s="4">
        <f t="shared" si="0"/>
        <v>450000</v>
      </c>
      <c r="G9" s="4">
        <f t="shared" si="0"/>
        <v>375000</v>
      </c>
      <c r="H9" s="2"/>
    </row>
    <row r="10" spans="2:8" x14ac:dyDescent="0.25">
      <c r="D10" s="2"/>
      <c r="E10" s="2"/>
      <c r="F10" s="2"/>
      <c r="G10" s="2"/>
      <c r="H10" s="2"/>
    </row>
    <row r="11" spans="2:8" x14ac:dyDescent="0.25">
      <c r="D11" s="2"/>
      <c r="E11" s="2"/>
      <c r="F11" s="2"/>
      <c r="G11" s="2"/>
      <c r="H11" s="2"/>
    </row>
    <row r="12" spans="2:8" x14ac:dyDescent="0.25">
      <c r="B12" s="1" t="s">
        <v>34</v>
      </c>
      <c r="D12" s="3" t="s">
        <v>2</v>
      </c>
      <c r="E12" s="3" t="s">
        <v>3</v>
      </c>
      <c r="F12" s="3" t="s">
        <v>4</v>
      </c>
      <c r="G12" s="3" t="s">
        <v>5</v>
      </c>
      <c r="H12" s="2"/>
    </row>
    <row r="13" spans="2:8" x14ac:dyDescent="0.25">
      <c r="B13" t="s">
        <v>14</v>
      </c>
      <c r="D13" s="4">
        <f>'DB BİLANÇO'!C6</f>
        <v>30000</v>
      </c>
      <c r="E13" s="4"/>
      <c r="F13" s="4"/>
      <c r="G13" s="4"/>
      <c r="H13" s="4"/>
    </row>
    <row r="14" spans="2:8" x14ac:dyDescent="0.25">
      <c r="B14" t="s">
        <v>2</v>
      </c>
      <c r="D14" s="4">
        <f>D9*Varsayımlar!C12</f>
        <v>210000</v>
      </c>
      <c r="E14" s="4">
        <f>D9*Varsayımlar!D12</f>
        <v>90000</v>
      </c>
      <c r="F14" s="4"/>
      <c r="G14" s="4"/>
      <c r="H14" s="4"/>
    </row>
    <row r="15" spans="2:8" x14ac:dyDescent="0.25">
      <c r="B15" t="s">
        <v>3</v>
      </c>
      <c r="E15" s="5">
        <f>E9*Varsayımlar!C12</f>
        <v>525000</v>
      </c>
      <c r="F15" s="5">
        <f>E9*Varsayımlar!D12</f>
        <v>225000</v>
      </c>
      <c r="G15" s="5"/>
      <c r="H15" s="5"/>
    </row>
    <row r="16" spans="2:8" x14ac:dyDescent="0.25">
      <c r="B16" t="s">
        <v>4</v>
      </c>
      <c r="D16" s="5"/>
      <c r="E16" s="5"/>
      <c r="F16" s="5">
        <f>F9*Varsayımlar!C12</f>
        <v>315000</v>
      </c>
      <c r="G16" s="5">
        <f>F9*Varsayımlar!D12</f>
        <v>135000</v>
      </c>
      <c r="H16" s="5"/>
    </row>
    <row r="17" spans="2:8" x14ac:dyDescent="0.25">
      <c r="B17" t="s">
        <v>25</v>
      </c>
      <c r="D17" s="5">
        <f t="shared" ref="D17:E17" si="1">SUM(D13:D16)</f>
        <v>240000</v>
      </c>
      <c r="E17" s="5">
        <f t="shared" si="1"/>
        <v>615000</v>
      </c>
      <c r="F17" s="5">
        <f>SUM(F13:F16)</f>
        <v>540000</v>
      </c>
      <c r="G17" s="5">
        <f t="shared" ref="G17" si="2">SUM(G13:G16)</f>
        <v>135000</v>
      </c>
      <c r="H17" s="5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topLeftCell="A7" zoomScale="120" zoomScaleNormal="120" workbookViewId="0">
      <selection activeCell="J18" sqref="J18"/>
    </sheetView>
  </sheetViews>
  <sheetFormatPr defaultRowHeight="15" x14ac:dyDescent="0.25"/>
  <cols>
    <col min="2" max="2" width="26.5703125" customWidth="1"/>
    <col min="3" max="3" width="2.42578125" customWidth="1"/>
  </cols>
  <sheetData>
    <row r="2" spans="2:7" x14ac:dyDescent="0.25">
      <c r="B2" s="1" t="s">
        <v>52</v>
      </c>
    </row>
    <row r="3" spans="2:7" x14ac:dyDescent="0.25">
      <c r="B3" s="1"/>
    </row>
    <row r="4" spans="2:7" x14ac:dyDescent="0.25">
      <c r="B4" s="1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spans="2:7" x14ac:dyDescent="0.25">
      <c r="B5" s="7" t="s">
        <v>45</v>
      </c>
      <c r="D5" s="5">
        <f>Varsayımlar!C3</f>
        <v>2000</v>
      </c>
      <c r="E5" s="5">
        <f>Varsayımlar!D3</f>
        <v>5000</v>
      </c>
      <c r="F5" s="5">
        <f>Varsayımlar!E3</f>
        <v>3000</v>
      </c>
      <c r="G5" s="5">
        <f>Varsayımlar!F3</f>
        <v>2500</v>
      </c>
    </row>
    <row r="6" spans="2:7" x14ac:dyDescent="0.25">
      <c r="B6" s="7" t="s">
        <v>46</v>
      </c>
      <c r="D6">
        <f>E5*Varsayımlar!C8</f>
        <v>1000</v>
      </c>
      <c r="E6">
        <f>F5*Varsayımlar!D8</f>
        <v>600</v>
      </c>
      <c r="F6">
        <f>G5*Varsayımlar!E8</f>
        <v>500</v>
      </c>
      <c r="G6" t="s">
        <v>6</v>
      </c>
    </row>
    <row r="7" spans="2:7" x14ac:dyDescent="0.25">
      <c r="B7" s="7" t="s">
        <v>48</v>
      </c>
      <c r="D7" s="5">
        <f>SUM(D5:D6)</f>
        <v>3000</v>
      </c>
      <c r="E7" s="5">
        <f t="shared" ref="E7:F7" si="0">SUM(E5:E6)</f>
        <v>5600</v>
      </c>
      <c r="F7" s="5">
        <f t="shared" si="0"/>
        <v>3500</v>
      </c>
      <c r="G7" s="5" t="s">
        <v>6</v>
      </c>
    </row>
    <row r="8" spans="2:7" x14ac:dyDescent="0.25">
      <c r="B8" s="7" t="s">
        <v>49</v>
      </c>
      <c r="D8" s="5">
        <f>Varsayımlar!C9</f>
        <v>400</v>
      </c>
      <c r="E8">
        <f>D6</f>
        <v>1000</v>
      </c>
      <c r="F8">
        <f t="shared" ref="F8" si="1">E6</f>
        <v>600</v>
      </c>
      <c r="G8" t="s">
        <v>6</v>
      </c>
    </row>
    <row r="9" spans="2:7" x14ac:dyDescent="0.25">
      <c r="B9" s="7" t="s">
        <v>50</v>
      </c>
      <c r="D9" s="5">
        <f>D7-D8</f>
        <v>2600</v>
      </c>
      <c r="E9" s="5">
        <f t="shared" ref="E9" si="2">E7-E8</f>
        <v>4600</v>
      </c>
      <c r="F9" s="5">
        <f>F7-F8</f>
        <v>2900</v>
      </c>
      <c r="G9" s="5" t="s">
        <v>6</v>
      </c>
    </row>
    <row r="10" spans="2:7" x14ac:dyDescent="0.25">
      <c r="B10" s="7"/>
    </row>
    <row r="12" spans="2:7" x14ac:dyDescent="0.25">
      <c r="B12" s="1" t="s">
        <v>51</v>
      </c>
      <c r="D12" s="3" t="s">
        <v>2</v>
      </c>
      <c r="E12" s="3" t="s">
        <v>3</v>
      </c>
      <c r="F12" s="3" t="s">
        <v>4</v>
      </c>
      <c r="G12" s="3" t="s">
        <v>5</v>
      </c>
    </row>
    <row r="13" spans="2:7" x14ac:dyDescent="0.25">
      <c r="B13" t="s">
        <v>7</v>
      </c>
      <c r="D13" s="4">
        <f>D9</f>
        <v>2600</v>
      </c>
      <c r="E13" s="4">
        <f t="shared" ref="E13:G13" si="3">E9</f>
        <v>4600</v>
      </c>
      <c r="F13" s="4">
        <f t="shared" si="3"/>
        <v>2900</v>
      </c>
      <c r="G13" s="4" t="str">
        <f t="shared" si="3"/>
        <v xml:space="preserve"> </v>
      </c>
    </row>
    <row r="14" spans="2:7" x14ac:dyDescent="0.25">
      <c r="B14" t="s">
        <v>8</v>
      </c>
      <c r="D14" s="4">
        <f>Varsayımlar!C5</f>
        <v>60</v>
      </c>
      <c r="E14" s="4">
        <f>Varsayımlar!D5</f>
        <v>60</v>
      </c>
      <c r="F14" s="4">
        <f>Varsayımlar!E5</f>
        <v>60</v>
      </c>
      <c r="G14" s="4" t="s">
        <v>6</v>
      </c>
    </row>
    <row r="15" spans="2:7" x14ac:dyDescent="0.25">
      <c r="B15" t="s">
        <v>44</v>
      </c>
      <c r="D15" s="4">
        <f>D13*D14</f>
        <v>156000</v>
      </c>
      <c r="E15" s="4">
        <f>E13*E14</f>
        <v>276000</v>
      </c>
      <c r="F15" s="4">
        <f>F13*F14</f>
        <v>174000</v>
      </c>
      <c r="G15" s="4" t="s">
        <v>6</v>
      </c>
    </row>
    <row r="16" spans="2:7" x14ac:dyDescent="0.25">
      <c r="D16" s="2"/>
      <c r="E16" s="2"/>
      <c r="F16" s="2"/>
      <c r="G16" s="2"/>
    </row>
    <row r="17" spans="2:7" x14ac:dyDescent="0.25">
      <c r="D17" s="2"/>
      <c r="E17" s="2"/>
      <c r="F17" s="2"/>
      <c r="G17" s="2"/>
    </row>
    <row r="18" spans="2:7" x14ac:dyDescent="0.25">
      <c r="B18" s="1" t="s">
        <v>33</v>
      </c>
      <c r="D18" s="3" t="s">
        <v>2</v>
      </c>
      <c r="E18" s="3" t="s">
        <v>3</v>
      </c>
      <c r="F18" s="3" t="s">
        <v>4</v>
      </c>
      <c r="G18" s="3" t="s">
        <v>5</v>
      </c>
    </row>
    <row r="19" spans="2:7" x14ac:dyDescent="0.25">
      <c r="B19" t="s">
        <v>14</v>
      </c>
      <c r="D19" s="4">
        <f>'DB BİLANÇO'!F6</f>
        <v>12000</v>
      </c>
      <c r="E19" s="4"/>
      <c r="F19" s="4"/>
      <c r="G19" s="4"/>
    </row>
    <row r="20" spans="2:7" x14ac:dyDescent="0.25">
      <c r="B20" t="s">
        <v>2</v>
      </c>
      <c r="D20" s="4">
        <f>D15*Varsayımlar!C13</f>
        <v>78000</v>
      </c>
      <c r="E20" s="4">
        <f>D15*Varsayımlar!D13</f>
        <v>78000</v>
      </c>
      <c r="F20" s="4"/>
      <c r="G20" s="4"/>
    </row>
    <row r="21" spans="2:7" x14ac:dyDescent="0.25">
      <c r="B21" t="s">
        <v>3</v>
      </c>
      <c r="E21" s="5">
        <f>E15*Varsayımlar!C13</f>
        <v>138000</v>
      </c>
      <c r="F21" s="5">
        <f>E15*Varsayımlar!D13</f>
        <v>138000</v>
      </c>
      <c r="G21" s="5"/>
    </row>
    <row r="22" spans="2:7" x14ac:dyDescent="0.25">
      <c r="B22" t="s">
        <v>4</v>
      </c>
      <c r="D22" s="5"/>
      <c r="E22" s="5"/>
      <c r="F22" s="5">
        <f>F15*Varsayımlar!C13</f>
        <v>87000</v>
      </c>
      <c r="G22" s="5">
        <f>F15*Varsayımlar!D13</f>
        <v>87000</v>
      </c>
    </row>
    <row r="23" spans="2:7" x14ac:dyDescent="0.25">
      <c r="B23" t="s">
        <v>25</v>
      </c>
      <c r="D23" s="5">
        <f>SUM(D19:D22)</f>
        <v>90000</v>
      </c>
      <c r="E23" s="5">
        <f t="shared" ref="E23" si="4">SUM(E19:E22)</f>
        <v>216000</v>
      </c>
      <c r="F23" s="5">
        <f>SUM(F19:F22)</f>
        <v>225000</v>
      </c>
      <c r="G23" s="5">
        <f>SUM(G19:G22)</f>
        <v>87000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opLeftCell="A4" workbookViewId="0">
      <selection activeCell="I18" sqref="I18"/>
    </sheetView>
  </sheetViews>
  <sheetFormatPr defaultRowHeight="15" x14ac:dyDescent="0.25"/>
  <cols>
    <col min="2" max="2" width="27.5703125" customWidth="1"/>
  </cols>
  <sheetData>
    <row r="1" spans="2:5" x14ac:dyDescent="0.25">
      <c r="B1" s="1" t="s">
        <v>123</v>
      </c>
    </row>
    <row r="2" spans="2:5" ht="9.75" customHeight="1" x14ac:dyDescent="0.25">
      <c r="B2" s="1"/>
    </row>
    <row r="3" spans="2:5" x14ac:dyDescent="0.25">
      <c r="B3" s="10" t="s">
        <v>124</v>
      </c>
      <c r="C3" s="2" t="s">
        <v>28</v>
      </c>
      <c r="D3" s="2" t="s">
        <v>29</v>
      </c>
      <c r="E3" s="2" t="s">
        <v>30</v>
      </c>
    </row>
    <row r="4" spans="2:5" x14ac:dyDescent="0.25">
      <c r="B4" t="s">
        <v>122</v>
      </c>
      <c r="C4">
        <f>DİMM!D8</f>
        <v>400</v>
      </c>
      <c r="D4">
        <f>DİMM!E8</f>
        <v>1000</v>
      </c>
      <c r="E4">
        <f>DİMM!F8</f>
        <v>600</v>
      </c>
    </row>
    <row r="5" spans="2:5" x14ac:dyDescent="0.25">
      <c r="B5" t="s">
        <v>125</v>
      </c>
      <c r="C5" s="5">
        <f>DİMM!D9</f>
        <v>2600</v>
      </c>
      <c r="D5" s="5">
        <f>DİMM!E9</f>
        <v>4600</v>
      </c>
      <c r="E5" s="5">
        <f>DİMM!F9</f>
        <v>2900</v>
      </c>
    </row>
    <row r="6" spans="2:5" x14ac:dyDescent="0.25">
      <c r="B6" s="2" t="s">
        <v>93</v>
      </c>
      <c r="C6" s="5">
        <f>SUM(C4:C5)</f>
        <v>3000</v>
      </c>
      <c r="D6" s="5">
        <f t="shared" ref="D6:E6" si="0">SUM(D4:D5)</f>
        <v>5600</v>
      </c>
      <c r="E6" s="5">
        <f t="shared" si="0"/>
        <v>3500</v>
      </c>
    </row>
    <row r="7" spans="2:5" x14ac:dyDescent="0.25">
      <c r="B7" t="s">
        <v>126</v>
      </c>
      <c r="C7" s="5">
        <f>DİMM!D5</f>
        <v>2000</v>
      </c>
      <c r="D7" s="5">
        <f>DİMM!E5</f>
        <v>5000</v>
      </c>
      <c r="E7" s="5">
        <f>DİMM!F5</f>
        <v>3000</v>
      </c>
    </row>
    <row r="8" spans="2:5" x14ac:dyDescent="0.25">
      <c r="B8" t="s">
        <v>127</v>
      </c>
      <c r="C8">
        <f>DİMM!D6</f>
        <v>1000</v>
      </c>
      <c r="D8">
        <f>DİMM!E6</f>
        <v>600</v>
      </c>
      <c r="E8">
        <f>DİMM!F6</f>
        <v>500</v>
      </c>
    </row>
    <row r="9" spans="2:5" x14ac:dyDescent="0.25">
      <c r="B9" s="2" t="s">
        <v>93</v>
      </c>
      <c r="C9" s="5">
        <f>SUM(C7:C8)</f>
        <v>3000</v>
      </c>
      <c r="D9" s="5">
        <f t="shared" ref="D9:E9" si="1">SUM(D7:D8)</f>
        <v>5600</v>
      </c>
      <c r="E9" s="5">
        <f t="shared" si="1"/>
        <v>3500</v>
      </c>
    </row>
    <row r="10" spans="2:5" ht="6" customHeight="1" x14ac:dyDescent="0.25"/>
    <row r="12" spans="2:5" x14ac:dyDescent="0.25">
      <c r="B12" t="s">
        <v>158</v>
      </c>
      <c r="C12" s="2" t="s">
        <v>28</v>
      </c>
      <c r="D12" s="2" t="s">
        <v>29</v>
      </c>
      <c r="E12" s="2" t="s">
        <v>30</v>
      </c>
    </row>
    <row r="13" spans="2:5" x14ac:dyDescent="0.25">
      <c r="B13" t="s">
        <v>157</v>
      </c>
      <c r="C13" s="5">
        <f>(C17+C18)/(C4+C5)</f>
        <v>60</v>
      </c>
      <c r="D13" s="5">
        <f t="shared" ref="D13" si="2">(D17+D18)/(D4+D5)</f>
        <v>60</v>
      </c>
      <c r="E13" s="5">
        <f>(E17+E18)/(E4+E5)</f>
        <v>60</v>
      </c>
    </row>
    <row r="14" spans="2:5" ht="6.75" customHeight="1" x14ac:dyDescent="0.25"/>
    <row r="16" spans="2:5" x14ac:dyDescent="0.25">
      <c r="B16" s="10" t="s">
        <v>128</v>
      </c>
      <c r="C16" s="2" t="s">
        <v>28</v>
      </c>
      <c r="D16" s="2" t="s">
        <v>29</v>
      </c>
      <c r="E16" s="2" t="s">
        <v>30</v>
      </c>
    </row>
    <row r="17" spans="2:5" x14ac:dyDescent="0.25">
      <c r="B17" t="s">
        <v>122</v>
      </c>
      <c r="C17" s="5">
        <f>'DB BİLANÇO'!C7</f>
        <v>24000</v>
      </c>
      <c r="D17" s="5">
        <f>C21</f>
        <v>60000</v>
      </c>
      <c r="E17" s="5">
        <f>D21</f>
        <v>36000</v>
      </c>
    </row>
    <row r="18" spans="2:5" x14ac:dyDescent="0.25">
      <c r="B18" t="s">
        <v>125</v>
      </c>
      <c r="C18" s="5">
        <f>DİMM!D15</f>
        <v>156000</v>
      </c>
      <c r="D18" s="5">
        <f>DİMM!E15</f>
        <v>276000</v>
      </c>
      <c r="E18" s="5">
        <f>DİMM!F15</f>
        <v>174000</v>
      </c>
    </row>
    <row r="19" spans="2:5" x14ac:dyDescent="0.25">
      <c r="B19" s="2" t="s">
        <v>93</v>
      </c>
      <c r="C19" s="5">
        <f>SUM(C17:C18)</f>
        <v>180000</v>
      </c>
      <c r="D19" s="5">
        <f t="shared" ref="D19" si="3">SUM(D17:D18)</f>
        <v>336000</v>
      </c>
      <c r="E19" s="5">
        <f t="shared" ref="E19" si="4">SUM(E17:E18)</f>
        <v>210000</v>
      </c>
    </row>
    <row r="20" spans="2:5" x14ac:dyDescent="0.25">
      <c r="B20" t="s">
        <v>126</v>
      </c>
      <c r="C20" s="5">
        <f>C7*C13</f>
        <v>120000</v>
      </c>
      <c r="D20" s="5">
        <f t="shared" ref="D20" si="5">D7*D13</f>
        <v>300000</v>
      </c>
      <c r="E20" s="5">
        <f>E7*E13</f>
        <v>180000</v>
      </c>
    </row>
    <row r="21" spans="2:5" x14ac:dyDescent="0.25">
      <c r="B21" t="s">
        <v>127</v>
      </c>
      <c r="C21" s="5">
        <f>C8*C13</f>
        <v>60000</v>
      </c>
      <c r="D21" s="5">
        <f t="shared" ref="D21" si="6">D8*D13</f>
        <v>36000</v>
      </c>
      <c r="E21" s="5">
        <f>E8*E13</f>
        <v>30000</v>
      </c>
    </row>
    <row r="22" spans="2:5" x14ac:dyDescent="0.25">
      <c r="B22" s="2" t="s">
        <v>93</v>
      </c>
      <c r="C22" s="5">
        <f>SUM(C20:C21)</f>
        <v>180000</v>
      </c>
      <c r="D22" s="5">
        <f t="shared" ref="D22" si="7">SUM(D20:D21)</f>
        <v>336000</v>
      </c>
      <c r="E22" s="5">
        <f t="shared" ref="E22" si="8">SUM(E20:E21)</f>
        <v>210000</v>
      </c>
    </row>
    <row r="23" spans="2:5" x14ac:dyDescent="0.25">
      <c r="C23" s="5"/>
      <c r="D23" s="5"/>
      <c r="E23" s="5"/>
    </row>
    <row r="24" spans="2:5" x14ac:dyDescent="0.25">
      <c r="B24" s="2" t="s">
        <v>129</v>
      </c>
      <c r="C24" s="5">
        <f>C19-C22</f>
        <v>0</v>
      </c>
      <c r="D24" s="5">
        <f t="shared" ref="D24:E24" si="9">D19-D22</f>
        <v>0</v>
      </c>
      <c r="E24" s="5">
        <f t="shared" si="9"/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workbookViewId="0">
      <selection activeCell="C17" sqref="C17"/>
    </sheetView>
  </sheetViews>
  <sheetFormatPr defaultRowHeight="15" x14ac:dyDescent="0.25"/>
  <cols>
    <col min="1" max="1" width="5.42578125" customWidth="1"/>
    <col min="2" max="2" width="27.7109375" customWidth="1"/>
  </cols>
  <sheetData>
    <row r="3" spans="2:6" x14ac:dyDescent="0.25">
      <c r="B3" s="1" t="s">
        <v>110</v>
      </c>
      <c r="C3" s="2" t="s">
        <v>28</v>
      </c>
      <c r="D3" s="2" t="s">
        <v>29</v>
      </c>
      <c r="E3" s="2" t="s">
        <v>30</v>
      </c>
      <c r="F3" s="2" t="s">
        <v>93</v>
      </c>
    </row>
    <row r="4" spans="2:6" x14ac:dyDescent="0.25">
      <c r="B4" t="s">
        <v>55</v>
      </c>
      <c r="C4" s="5">
        <f>Varsayımlar!C3</f>
        <v>2000</v>
      </c>
      <c r="D4" s="5">
        <f>Varsayımlar!D3</f>
        <v>5000</v>
      </c>
      <c r="E4" s="5">
        <f>Varsayımlar!E3</f>
        <v>3000</v>
      </c>
      <c r="F4" s="5"/>
    </row>
    <row r="5" spans="2:6" x14ac:dyDescent="0.25">
      <c r="B5" t="s">
        <v>111</v>
      </c>
      <c r="C5" s="5">
        <f>Varsayımlar!C16</f>
        <v>10</v>
      </c>
      <c r="D5" s="5">
        <f>Varsayımlar!D16</f>
        <v>10</v>
      </c>
      <c r="E5" s="5">
        <f>Varsayımlar!E16</f>
        <v>10</v>
      </c>
      <c r="F5" s="5"/>
    </row>
    <row r="6" spans="2:6" x14ac:dyDescent="0.25">
      <c r="B6" t="s">
        <v>112</v>
      </c>
      <c r="C6" s="5">
        <f>C4*C5</f>
        <v>20000</v>
      </c>
      <c r="D6" s="5">
        <f>D4*D5</f>
        <v>50000</v>
      </c>
      <c r="E6" s="5">
        <f>E4*E5</f>
        <v>30000</v>
      </c>
      <c r="F6" s="5"/>
    </row>
    <row r="7" spans="2:6" x14ac:dyDescent="0.25">
      <c r="B7" t="s">
        <v>113</v>
      </c>
      <c r="C7" s="5">
        <f>Varsayımlar!C17+Varsayımlar!C18</f>
        <v>50000</v>
      </c>
      <c r="D7" s="5">
        <f>Varsayımlar!D17+Varsayımlar!D18</f>
        <v>50000</v>
      </c>
      <c r="E7" s="5">
        <f>Varsayımlar!E17+Varsayımlar!E18</f>
        <v>50000</v>
      </c>
      <c r="F7" s="5"/>
    </row>
    <row r="8" spans="2:6" x14ac:dyDescent="0.25">
      <c r="B8" t="s">
        <v>114</v>
      </c>
      <c r="C8" s="5">
        <f>Varsayımlar!C17</f>
        <v>20000</v>
      </c>
      <c r="D8" s="5">
        <f>Varsayımlar!D17</f>
        <v>20000</v>
      </c>
      <c r="E8" s="5">
        <f>Varsayımlar!E17</f>
        <v>20000</v>
      </c>
      <c r="F8" s="5">
        <f>SUM(C8:E8)</f>
        <v>60000</v>
      </c>
    </row>
    <row r="9" spans="2:6" x14ac:dyDescent="0.25">
      <c r="B9" t="s">
        <v>115</v>
      </c>
      <c r="C9" s="6">
        <f>C7-C8+C6</f>
        <v>50000</v>
      </c>
      <c r="D9" s="6">
        <f>D7-D8+D6</f>
        <v>80000</v>
      </c>
      <c r="E9" s="6">
        <f>E7-E8+E6</f>
        <v>60000</v>
      </c>
      <c r="F9" s="5">
        <f>SUM(C9:E9)</f>
        <v>190000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zoomScale="120" zoomScaleNormal="120" workbookViewId="0">
      <selection activeCell="F6" sqref="F6"/>
    </sheetView>
  </sheetViews>
  <sheetFormatPr defaultRowHeight="15" x14ac:dyDescent="0.25"/>
  <cols>
    <col min="2" max="2" width="27.140625" customWidth="1"/>
    <col min="6" max="6" width="10.7109375" customWidth="1"/>
  </cols>
  <sheetData>
    <row r="3" spans="2:6" x14ac:dyDescent="0.25">
      <c r="B3" s="1" t="s">
        <v>116</v>
      </c>
    </row>
    <row r="4" spans="2:6" x14ac:dyDescent="0.25">
      <c r="C4" s="2" t="s">
        <v>31</v>
      </c>
      <c r="D4" s="2" t="s">
        <v>96</v>
      </c>
      <c r="E4" s="2" t="s">
        <v>97</v>
      </c>
      <c r="F4" s="2" t="s">
        <v>93</v>
      </c>
    </row>
    <row r="5" spans="2:6" x14ac:dyDescent="0.25">
      <c r="B5" t="s">
        <v>98</v>
      </c>
      <c r="C5" s="5">
        <f>STOK!C20</f>
        <v>120000</v>
      </c>
      <c r="D5" s="5">
        <f>STOK!D20</f>
        <v>300000</v>
      </c>
      <c r="E5" s="5">
        <f>STOK!E20</f>
        <v>180000</v>
      </c>
      <c r="F5" s="5">
        <f>SUM(C5:E5)</f>
        <v>600000</v>
      </c>
    </row>
    <row r="6" spans="2:6" x14ac:dyDescent="0.25">
      <c r="B6" t="s">
        <v>99</v>
      </c>
      <c r="C6" s="5">
        <v>0</v>
      </c>
      <c r="D6" s="5">
        <v>0</v>
      </c>
      <c r="E6" s="5">
        <v>0</v>
      </c>
      <c r="F6" s="5">
        <f>SUM(C6:E6)</f>
        <v>0</v>
      </c>
    </row>
    <row r="7" spans="2:6" x14ac:dyDescent="0.25">
      <c r="B7" t="s">
        <v>109</v>
      </c>
      <c r="C7" s="5">
        <f>GÜG!C9+GÜG!C8</f>
        <v>70000</v>
      </c>
      <c r="D7" s="5">
        <f>GÜG!D9+GÜG!D8</f>
        <v>100000</v>
      </c>
      <c r="E7" s="5">
        <f>GÜG!E9+GÜG!E8</f>
        <v>80000</v>
      </c>
      <c r="F7" s="5">
        <f>GÜG!F9+GÜG!F8</f>
        <v>250000</v>
      </c>
    </row>
    <row r="8" spans="2:6" x14ac:dyDescent="0.25">
      <c r="B8" t="s">
        <v>117</v>
      </c>
      <c r="C8" s="5">
        <f>SUM(C5:C7)</f>
        <v>190000</v>
      </c>
      <c r="D8" s="5">
        <f t="shared" ref="D8" si="0">SUM(D5:D7)</f>
        <v>400000</v>
      </c>
      <c r="E8" s="5">
        <f>SUM(E5:E7)</f>
        <v>260000</v>
      </c>
      <c r="F8" s="5">
        <f>SUM(F5:F7)</f>
        <v>850000</v>
      </c>
    </row>
    <row r="9" spans="2:6" x14ac:dyDescent="0.25">
      <c r="B9" t="s">
        <v>130</v>
      </c>
      <c r="C9" s="5">
        <v>0</v>
      </c>
      <c r="D9" s="5">
        <v>0</v>
      </c>
      <c r="E9" s="5">
        <v>0</v>
      </c>
      <c r="F9" s="5">
        <f>SUM(C9:E9)</f>
        <v>0</v>
      </c>
    </row>
    <row r="10" spans="2:6" x14ac:dyDescent="0.25">
      <c r="B10" t="s">
        <v>118</v>
      </c>
      <c r="C10" s="5">
        <f>C8+C9</f>
        <v>190000</v>
      </c>
      <c r="D10" s="5">
        <f t="shared" ref="D10:E10" si="1">D8+D9</f>
        <v>400000</v>
      </c>
      <c r="E10" s="5">
        <f t="shared" si="1"/>
        <v>260000</v>
      </c>
      <c r="F10" s="5">
        <f>SUM(C10:E10)</f>
        <v>850000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workbookViewId="0">
      <selection activeCell="D20" sqref="D20"/>
    </sheetView>
  </sheetViews>
  <sheetFormatPr defaultRowHeight="15" x14ac:dyDescent="0.25"/>
  <cols>
    <col min="1" max="1" width="4.7109375" customWidth="1"/>
    <col min="2" max="2" width="27.140625" customWidth="1"/>
  </cols>
  <sheetData>
    <row r="3" spans="2:6" x14ac:dyDescent="0.25">
      <c r="B3" s="1" t="s">
        <v>101</v>
      </c>
      <c r="C3" s="4" t="s">
        <v>28</v>
      </c>
      <c r="D3" s="4" t="s">
        <v>29</v>
      </c>
      <c r="E3" s="4" t="s">
        <v>30</v>
      </c>
      <c r="F3" s="2" t="s">
        <v>93</v>
      </c>
    </row>
    <row r="4" spans="2:6" x14ac:dyDescent="0.25">
      <c r="B4" t="s">
        <v>55</v>
      </c>
      <c r="C4" s="5">
        <f>Varsayımlar!C3</f>
        <v>2000</v>
      </c>
      <c r="D4" s="5">
        <f>Varsayımlar!D3</f>
        <v>5000</v>
      </c>
      <c r="E4" s="5">
        <f>Varsayımlar!E3</f>
        <v>3000</v>
      </c>
      <c r="F4" s="5"/>
    </row>
    <row r="5" spans="2:6" x14ac:dyDescent="0.25">
      <c r="B5" t="s">
        <v>57</v>
      </c>
      <c r="C5" s="5">
        <f>Varsayımlar!C21</f>
        <v>10</v>
      </c>
      <c r="D5" s="5">
        <f>Varsayımlar!D21</f>
        <v>10</v>
      </c>
      <c r="E5" s="5">
        <f>Varsayımlar!E21</f>
        <v>10</v>
      </c>
      <c r="F5" s="5"/>
    </row>
    <row r="6" spans="2:6" x14ac:dyDescent="0.25">
      <c r="B6" t="s">
        <v>56</v>
      </c>
      <c r="C6" s="5">
        <f>C4*C5</f>
        <v>20000</v>
      </c>
      <c r="D6" s="5">
        <f>D4*D5</f>
        <v>50000</v>
      </c>
      <c r="E6" s="5">
        <f>E4*E5</f>
        <v>30000</v>
      </c>
      <c r="F6" s="5"/>
    </row>
    <row r="7" spans="2:6" x14ac:dyDescent="0.25">
      <c r="B7" t="s">
        <v>58</v>
      </c>
      <c r="C7" s="5">
        <f>Varsayımlar!C22+Varsayımlar!C23</f>
        <v>20000</v>
      </c>
      <c r="D7" s="5">
        <f>Varsayımlar!D22+Varsayımlar!D23</f>
        <v>20000</v>
      </c>
      <c r="E7" s="5">
        <f>Varsayımlar!E22+Varsayımlar!E23</f>
        <v>20000</v>
      </c>
      <c r="F7" s="5"/>
    </row>
    <row r="8" spans="2:6" x14ac:dyDescent="0.25">
      <c r="B8" t="s">
        <v>59</v>
      </c>
      <c r="C8" s="5">
        <f>Varsayımlar!C22</f>
        <v>1000</v>
      </c>
      <c r="D8" s="5">
        <f>Varsayımlar!D22</f>
        <v>1000</v>
      </c>
      <c r="E8" s="5">
        <f>Varsayımlar!E22</f>
        <v>1000</v>
      </c>
      <c r="F8" s="5">
        <f>SUM(C8:E8)</f>
        <v>3000</v>
      </c>
    </row>
    <row r="9" spans="2:6" x14ac:dyDescent="0.25">
      <c r="B9" t="s">
        <v>60</v>
      </c>
      <c r="C9" s="6">
        <f>C7-C8+C6</f>
        <v>39000</v>
      </c>
      <c r="D9" s="6">
        <f>D7-D8+D6</f>
        <v>69000</v>
      </c>
      <c r="E9" s="6">
        <f>E7-E8+E6</f>
        <v>49000</v>
      </c>
      <c r="F9" s="5">
        <f>SUM(C9:E9)</f>
        <v>157000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zoomScale="120" zoomScaleNormal="120" workbookViewId="0">
      <selection activeCell="B3" sqref="B3:F5"/>
    </sheetView>
  </sheetViews>
  <sheetFormatPr defaultRowHeight="15" x14ac:dyDescent="0.25"/>
  <cols>
    <col min="2" max="2" width="27" customWidth="1"/>
  </cols>
  <sheetData>
    <row r="2" spans="2:6" x14ac:dyDescent="0.25">
      <c r="C2" s="5"/>
      <c r="D2" s="5"/>
      <c r="E2" s="5"/>
      <c r="F2" s="5"/>
    </row>
    <row r="3" spans="2:6" x14ac:dyDescent="0.25">
      <c r="B3" s="1" t="s">
        <v>102</v>
      </c>
      <c r="C3" s="4" t="s">
        <v>28</v>
      </c>
      <c r="D3" s="4" t="s">
        <v>29</v>
      </c>
      <c r="E3" s="4" t="s">
        <v>30</v>
      </c>
      <c r="F3" s="2" t="s">
        <v>93</v>
      </c>
    </row>
    <row r="4" spans="2:6" x14ac:dyDescent="0.25">
      <c r="B4" t="s">
        <v>55</v>
      </c>
      <c r="C4" s="5">
        <f>Varsayımlar!C3</f>
        <v>2000</v>
      </c>
      <c r="D4" s="5">
        <f>Varsayımlar!D3</f>
        <v>5000</v>
      </c>
      <c r="E4" s="5">
        <f>Varsayımlar!E3</f>
        <v>3000</v>
      </c>
      <c r="F4" s="5"/>
    </row>
    <row r="5" spans="2:6" x14ac:dyDescent="0.25">
      <c r="B5" t="s">
        <v>62</v>
      </c>
      <c r="C5" s="5">
        <f>Varsayımlar!C26</f>
        <v>5</v>
      </c>
      <c r="D5" s="5">
        <f>Varsayımlar!D26</f>
        <v>5</v>
      </c>
      <c r="E5" s="5">
        <f>Varsayımlar!E26</f>
        <v>5</v>
      </c>
      <c r="F5" s="5"/>
    </row>
    <row r="6" spans="2:6" x14ac:dyDescent="0.25">
      <c r="B6" t="s">
        <v>61</v>
      </c>
      <c r="C6" s="5">
        <f t="shared" ref="C6" si="0">C4*C5</f>
        <v>10000</v>
      </c>
      <c r="D6" s="5">
        <f t="shared" ref="D6" si="1">D4*D5</f>
        <v>25000</v>
      </c>
      <c r="E6" s="5">
        <f t="shared" ref="E6" si="2">E4*E5</f>
        <v>15000</v>
      </c>
      <c r="F6" s="5"/>
    </row>
    <row r="7" spans="2:6" x14ac:dyDescent="0.25">
      <c r="B7" t="s">
        <v>63</v>
      </c>
      <c r="C7" s="5">
        <f>Varsayımlar!C27+Varsayımlar!C28</f>
        <v>30000</v>
      </c>
      <c r="D7" s="5">
        <f>Varsayımlar!D27+Varsayımlar!D28</f>
        <v>30000</v>
      </c>
      <c r="E7" s="5">
        <f>Varsayımlar!E27+Varsayımlar!E28</f>
        <v>30000</v>
      </c>
      <c r="F7" s="5"/>
    </row>
    <row r="8" spans="2:6" x14ac:dyDescent="0.25">
      <c r="B8" t="s">
        <v>64</v>
      </c>
      <c r="C8" s="5">
        <f>Varsayımlar!C27</f>
        <v>1000</v>
      </c>
      <c r="D8" s="5">
        <f>Varsayımlar!D27</f>
        <v>1000</v>
      </c>
      <c r="E8" s="5">
        <f>Varsayımlar!E27</f>
        <v>1000</v>
      </c>
      <c r="F8" s="5">
        <f>SUM(C8:E8)</f>
        <v>3000</v>
      </c>
    </row>
    <row r="9" spans="2:6" x14ac:dyDescent="0.25">
      <c r="B9" t="s">
        <v>65</v>
      </c>
      <c r="C9" s="6">
        <f t="shared" ref="C9" si="3">C7-C8+C6</f>
        <v>39000</v>
      </c>
      <c r="D9" s="6">
        <f t="shared" ref="D9" si="4">D7-D8+D6</f>
        <v>54000</v>
      </c>
      <c r="E9" s="6">
        <f t="shared" ref="E9" si="5">E7-E8+E6</f>
        <v>44000</v>
      </c>
      <c r="F9" s="5">
        <f>SUM(C9:E9)</f>
        <v>137000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DB BİLANÇO</vt:lpstr>
      <vt:lpstr>Varsayımlar</vt:lpstr>
      <vt:lpstr>SATIŞ</vt:lpstr>
      <vt:lpstr>DİMM</vt:lpstr>
      <vt:lpstr>STOK</vt:lpstr>
      <vt:lpstr>GÜG</vt:lpstr>
      <vt:lpstr>SMM</vt:lpstr>
      <vt:lpstr>PSD</vt:lpstr>
      <vt:lpstr>GYG</vt:lpstr>
      <vt:lpstr>FIN</vt:lpstr>
      <vt:lpstr>NAKİT A.</vt:lpstr>
      <vt:lpstr>KAR-ZARAR</vt:lpstr>
      <vt:lpstr>DS BİLANÇO</vt:lpstr>
      <vt:lpstr>ÖDEV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Nedim</dc:creator>
  <cp:lastModifiedBy>NEDIM NARLI</cp:lastModifiedBy>
  <dcterms:created xsi:type="dcterms:W3CDTF">2015-04-11T17:39:51Z</dcterms:created>
  <dcterms:modified xsi:type="dcterms:W3CDTF">2019-07-18T08:08:10Z</dcterms:modified>
</cp:coreProperties>
</file>