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im\Desktop\YENİ MALİ PAKETLER\4-NAKİT AKIMI\UYGULAMA\"/>
    </mc:Choice>
  </mc:AlternateContent>
  <xr:revisionPtr revIDLastSave="0" documentId="13_ncr:1_{64993D1F-554A-4CF7-AE76-5689CE4ACDD7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POR" sheetId="1" r:id="rId1"/>
    <sheet name="COR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6" i="4" l="1"/>
  <c r="E115" i="4"/>
  <c r="J163" i="1" l="1"/>
  <c r="I163" i="1"/>
  <c r="H163" i="1"/>
  <c r="G163" i="1"/>
  <c r="F163" i="1"/>
  <c r="E8" i="4" l="1"/>
  <c r="F8" i="4"/>
  <c r="G8" i="4"/>
  <c r="G32" i="4"/>
  <c r="E134" i="4" l="1"/>
  <c r="E126" i="4"/>
  <c r="G117" i="4"/>
  <c r="F117" i="4"/>
  <c r="E117" i="4"/>
  <c r="G116" i="4" l="1"/>
  <c r="F116" i="4"/>
  <c r="G38" i="4"/>
  <c r="G26" i="4"/>
  <c r="G22" i="4"/>
  <c r="F38" i="4"/>
  <c r="E38" i="4"/>
  <c r="F32" i="4"/>
  <c r="E32" i="4"/>
  <c r="F26" i="4"/>
  <c r="F10" i="4" s="1"/>
  <c r="E26" i="4"/>
  <c r="F22" i="4"/>
  <c r="E22" i="4"/>
  <c r="G5" i="4"/>
  <c r="G7" i="4" s="1"/>
  <c r="F5" i="4"/>
  <c r="F7" i="4" s="1"/>
  <c r="F9" i="4" s="1"/>
  <c r="E5" i="4"/>
  <c r="E7" i="4" s="1"/>
  <c r="E9" i="4" s="1"/>
  <c r="G10" i="4" l="1"/>
  <c r="G99" i="4" s="1"/>
  <c r="F14" i="4"/>
  <c r="F39" i="4" s="1"/>
  <c r="G9" i="4"/>
  <c r="G14" i="4" s="1"/>
  <c r="F11" i="4"/>
  <c r="E14" i="4"/>
  <c r="E39" i="4" s="1"/>
  <c r="E11" i="4"/>
  <c r="G11" i="4"/>
  <c r="G135" i="4"/>
  <c r="F135" i="4"/>
  <c r="E135" i="4"/>
  <c r="G134" i="4"/>
  <c r="F134" i="4"/>
  <c r="G130" i="4"/>
  <c r="F130" i="4"/>
  <c r="E130" i="4"/>
  <c r="G128" i="4"/>
  <c r="F128" i="4"/>
  <c r="E128" i="4"/>
  <c r="G126" i="4"/>
  <c r="F126" i="4"/>
  <c r="G115" i="4"/>
  <c r="F115" i="4"/>
  <c r="G86" i="4"/>
  <c r="F86" i="4"/>
  <c r="G64" i="4"/>
  <c r="G88" i="4" s="1"/>
  <c r="F64" i="4"/>
  <c r="F88" i="4" s="1"/>
  <c r="G61" i="4"/>
  <c r="G85" i="4" s="1"/>
  <c r="F61" i="4"/>
  <c r="F85" i="4" s="1"/>
  <c r="G60" i="4"/>
  <c r="G84" i="4" s="1"/>
  <c r="F60" i="4"/>
  <c r="F84" i="4" s="1"/>
  <c r="G58" i="4"/>
  <c r="G82" i="4" s="1"/>
  <c r="F58" i="4"/>
  <c r="F82" i="4" s="1"/>
  <c r="G57" i="4"/>
  <c r="G81" i="4" s="1"/>
  <c r="F57" i="4"/>
  <c r="F81" i="4" s="1"/>
  <c r="G52" i="4"/>
  <c r="G91" i="4" s="1"/>
  <c r="F52" i="4"/>
  <c r="F91" i="4" s="1"/>
  <c r="G51" i="4"/>
  <c r="G76" i="4" s="1"/>
  <c r="G105" i="4" s="1"/>
  <c r="F51" i="4"/>
  <c r="F76" i="4" s="1"/>
  <c r="F105" i="4" s="1"/>
  <c r="G48" i="4"/>
  <c r="G74" i="4" s="1"/>
  <c r="F48" i="4"/>
  <c r="F74" i="4" s="1"/>
  <c r="G47" i="4"/>
  <c r="G73" i="4" s="1"/>
  <c r="F47" i="4"/>
  <c r="F73" i="4" s="1"/>
  <c r="G46" i="4"/>
  <c r="G72" i="4" s="1"/>
  <c r="F46" i="4"/>
  <c r="F72" i="4" s="1"/>
  <c r="G45" i="4"/>
  <c r="G71" i="4" s="1"/>
  <c r="F45" i="4"/>
  <c r="F71" i="4" s="1"/>
  <c r="G33" i="4"/>
  <c r="F33" i="4"/>
  <c r="E33" i="4"/>
  <c r="G30" i="4"/>
  <c r="F30" i="4"/>
  <c r="E30" i="4"/>
  <c r="G24" i="4"/>
  <c r="F24" i="4"/>
  <c r="E24" i="4"/>
  <c r="G18" i="4"/>
  <c r="F18" i="4"/>
  <c r="E18" i="4"/>
  <c r="F132" i="4"/>
  <c r="F127" i="4"/>
  <c r="E114" i="4" l="1"/>
  <c r="G39" i="4"/>
  <c r="F28" i="4"/>
  <c r="F44" i="4"/>
  <c r="F99" i="4"/>
  <c r="G28" i="4"/>
  <c r="E127" i="4"/>
  <c r="G127" i="4"/>
  <c r="G59" i="4"/>
  <c r="G83" i="4" s="1"/>
  <c r="G101" i="4" s="1"/>
  <c r="E132" i="4"/>
  <c r="F50" i="4"/>
  <c r="G132" i="4"/>
  <c r="G70" i="4"/>
  <c r="G78" i="4" s="1"/>
  <c r="E28" i="4"/>
  <c r="E129" i="4"/>
  <c r="G129" i="4"/>
  <c r="G56" i="4"/>
  <c r="G44" i="4"/>
  <c r="F56" i="4"/>
  <c r="G50" i="4"/>
  <c r="F114" i="4"/>
  <c r="F59" i="4"/>
  <c r="F83" i="4" s="1"/>
  <c r="F101" i="4" s="1"/>
  <c r="F70" i="4"/>
  <c r="G114" i="4"/>
  <c r="F54" i="4" l="1"/>
  <c r="G37" i="4"/>
  <c r="G118" i="4" s="1"/>
  <c r="G133" i="4"/>
  <c r="G131" i="4"/>
  <c r="G80" i="4"/>
  <c r="F129" i="4"/>
  <c r="F78" i="4"/>
  <c r="F80" i="4"/>
  <c r="G54" i="4"/>
  <c r="E133" i="4"/>
  <c r="E131" i="4"/>
  <c r="G40" i="4" l="1"/>
  <c r="G41" i="4" s="1"/>
  <c r="F131" i="4"/>
  <c r="F133" i="4"/>
  <c r="E136" i="4"/>
  <c r="F100" i="4"/>
  <c r="F104" i="4"/>
  <c r="F106" i="4" s="1"/>
  <c r="G104" i="4"/>
  <c r="G106" i="4" s="1"/>
  <c r="G136" i="4"/>
  <c r="G98" i="4"/>
  <c r="E37" i="4" l="1"/>
  <c r="G97" i="4"/>
  <c r="F136" i="4"/>
  <c r="F119" i="4" s="1"/>
  <c r="F98" i="4"/>
  <c r="G100" i="4"/>
  <c r="G102" i="4" s="1"/>
  <c r="E118" i="4" l="1"/>
  <c r="F121" i="4"/>
  <c r="F120" i="4"/>
  <c r="G119" i="4"/>
  <c r="F102" i="4"/>
  <c r="F97" i="4"/>
  <c r="F65" i="4"/>
  <c r="F89" i="4" s="1"/>
  <c r="F37" i="4"/>
  <c r="G65" i="4"/>
  <c r="G89" i="4" s="1"/>
  <c r="E40" i="4"/>
  <c r="F118" i="4" l="1"/>
  <c r="G121" i="4"/>
  <c r="G120" i="4"/>
  <c r="E41" i="4"/>
  <c r="F63" i="4"/>
  <c r="G63" i="4"/>
  <c r="F40" i="4"/>
  <c r="F41" i="4" l="1"/>
  <c r="G87" i="4"/>
  <c r="G93" i="4" s="1"/>
  <c r="G66" i="4"/>
  <c r="F87" i="4"/>
  <c r="F93" i="4" s="1"/>
  <c r="F66" i="4"/>
  <c r="E10" i="1" l="1"/>
  <c r="F87" i="1"/>
  <c r="G87" i="1"/>
  <c r="H87" i="1"/>
  <c r="I87" i="1"/>
  <c r="J87" i="1"/>
  <c r="J65" i="1"/>
  <c r="J90" i="1" s="1"/>
  <c r="J118" i="1" s="1"/>
  <c r="I65" i="1"/>
  <c r="I90" i="1" s="1"/>
  <c r="I118" i="1" s="1"/>
  <c r="I64" i="1"/>
  <c r="H64" i="1"/>
  <c r="G64" i="1"/>
  <c r="F64" i="1"/>
  <c r="J61" i="1"/>
  <c r="I61" i="1"/>
  <c r="H61" i="1"/>
  <c r="G61" i="1"/>
  <c r="F61" i="1"/>
  <c r="J60" i="1"/>
  <c r="I60" i="1"/>
  <c r="H60" i="1"/>
  <c r="G60" i="1"/>
  <c r="F60" i="1"/>
  <c r="F170" i="1" s="1"/>
  <c r="H58" i="1"/>
  <c r="G58" i="1"/>
  <c r="F58" i="1"/>
  <c r="J57" i="1"/>
  <c r="I57" i="1"/>
  <c r="H57" i="1"/>
  <c r="G57" i="1"/>
  <c r="F57" i="1"/>
  <c r="I52" i="1"/>
  <c r="H52" i="1"/>
  <c r="G52" i="1"/>
  <c r="F52" i="1"/>
  <c r="J51" i="1"/>
  <c r="J177" i="1" s="1"/>
  <c r="I51" i="1"/>
  <c r="I177" i="1" s="1"/>
  <c r="H51" i="1"/>
  <c r="H177" i="1" s="1"/>
  <c r="G51" i="1"/>
  <c r="G177" i="1" s="1"/>
  <c r="F51" i="1"/>
  <c r="F177" i="1" s="1"/>
  <c r="H48" i="1"/>
  <c r="G48" i="1"/>
  <c r="F48" i="1"/>
  <c r="F168" i="1" s="1"/>
  <c r="J47" i="1"/>
  <c r="J175" i="1" s="1"/>
  <c r="I47" i="1"/>
  <c r="I175" i="1" s="1"/>
  <c r="H47" i="1"/>
  <c r="H175" i="1" s="1"/>
  <c r="G47" i="1"/>
  <c r="G175" i="1" s="1"/>
  <c r="F47" i="1"/>
  <c r="F175" i="1" s="1"/>
  <c r="J46" i="1"/>
  <c r="I46" i="1"/>
  <c r="H46" i="1"/>
  <c r="G46" i="1"/>
  <c r="F46" i="1"/>
  <c r="F167" i="1" s="1"/>
  <c r="J45" i="1"/>
  <c r="J71" i="1" s="1"/>
  <c r="J100" i="1" s="1"/>
  <c r="I45" i="1"/>
  <c r="I71" i="1" s="1"/>
  <c r="I100" i="1" s="1"/>
  <c r="H45" i="1"/>
  <c r="H71" i="1" s="1"/>
  <c r="H100" i="1" s="1"/>
  <c r="G45" i="1"/>
  <c r="G71" i="1" s="1"/>
  <c r="G100" i="1" s="1"/>
  <c r="F45" i="1"/>
  <c r="F71" i="1" s="1"/>
  <c r="F100" i="1" s="1"/>
  <c r="H82" i="1" l="1"/>
  <c r="H110" i="1" s="1"/>
  <c r="H174" i="1"/>
  <c r="J73" i="1"/>
  <c r="J102" i="1" s="1"/>
  <c r="J72" i="1"/>
  <c r="J101" i="1" s="1"/>
  <c r="J167" i="1"/>
  <c r="H74" i="1"/>
  <c r="H103" i="1" s="1"/>
  <c r="H168" i="1"/>
  <c r="G83" i="1"/>
  <c r="G111" i="1" s="1"/>
  <c r="G176" i="1"/>
  <c r="G86" i="1"/>
  <c r="G114" i="1" s="1"/>
  <c r="G171" i="1"/>
  <c r="H83" i="1"/>
  <c r="H111" i="1" s="1"/>
  <c r="H176" i="1"/>
  <c r="H86" i="1"/>
  <c r="H114" i="1" s="1"/>
  <c r="H171" i="1"/>
  <c r="G73" i="1"/>
  <c r="G102" i="1" s="1"/>
  <c r="F82" i="1"/>
  <c r="F110" i="1" s="1"/>
  <c r="F174" i="1"/>
  <c r="I86" i="1"/>
  <c r="I114" i="1" s="1"/>
  <c r="I171" i="1"/>
  <c r="H73" i="1"/>
  <c r="H102" i="1" s="1"/>
  <c r="G82" i="1"/>
  <c r="G110" i="1" s="1"/>
  <c r="G174" i="1"/>
  <c r="G85" i="1"/>
  <c r="G113" i="1" s="1"/>
  <c r="G112" i="1" s="1"/>
  <c r="G170" i="1"/>
  <c r="J86" i="1"/>
  <c r="J114" i="1" s="1"/>
  <c r="J171" i="1"/>
  <c r="I85" i="1"/>
  <c r="I113" i="1" s="1"/>
  <c r="I112" i="1" s="1"/>
  <c r="I170" i="1"/>
  <c r="G89" i="1"/>
  <c r="G117" i="1" s="1"/>
  <c r="H85" i="1"/>
  <c r="H113" i="1" s="1"/>
  <c r="H112" i="1" s="1"/>
  <c r="H170" i="1"/>
  <c r="H72" i="1"/>
  <c r="H101" i="1" s="1"/>
  <c r="H167" i="1"/>
  <c r="I73" i="1"/>
  <c r="I102" i="1" s="1"/>
  <c r="G72" i="1"/>
  <c r="G101" i="1" s="1"/>
  <c r="G167" i="1"/>
  <c r="I82" i="1"/>
  <c r="I110" i="1" s="1"/>
  <c r="I174" i="1"/>
  <c r="J82" i="1"/>
  <c r="J110" i="1" s="1"/>
  <c r="J174" i="1"/>
  <c r="J85" i="1"/>
  <c r="J113" i="1" s="1"/>
  <c r="J112" i="1" s="1"/>
  <c r="J170" i="1"/>
  <c r="H89" i="1"/>
  <c r="H117" i="1" s="1"/>
  <c r="I72" i="1"/>
  <c r="I101" i="1" s="1"/>
  <c r="I167" i="1"/>
  <c r="G74" i="1"/>
  <c r="G103" i="1" s="1"/>
  <c r="G168" i="1"/>
  <c r="F83" i="1"/>
  <c r="F111" i="1" s="1"/>
  <c r="F176" i="1"/>
  <c r="I89" i="1"/>
  <c r="I117" i="1" s="1"/>
  <c r="I116" i="1" s="1"/>
  <c r="F85" i="1"/>
  <c r="F113" i="1" s="1"/>
  <c r="F89" i="1"/>
  <c r="F86" i="1"/>
  <c r="F114" i="1" s="1"/>
  <c r="F171" i="1"/>
  <c r="F73" i="1"/>
  <c r="F102" i="1" s="1"/>
  <c r="F72" i="1"/>
  <c r="F101" i="1" s="1"/>
  <c r="F74" i="1"/>
  <c r="F103" i="1" s="1"/>
  <c r="H92" i="1"/>
  <c r="H120" i="1" s="1"/>
  <c r="H77" i="1"/>
  <c r="I92" i="1"/>
  <c r="I120" i="1" s="1"/>
  <c r="I77" i="1"/>
  <c r="F92" i="1"/>
  <c r="F120" i="1" s="1"/>
  <c r="F77" i="1"/>
  <c r="G92" i="1"/>
  <c r="G120" i="1" s="1"/>
  <c r="G77" i="1"/>
  <c r="F117" i="1" l="1"/>
  <c r="G109" i="1"/>
  <c r="F99" i="1"/>
  <c r="F112" i="1"/>
  <c r="G99" i="1"/>
  <c r="H99" i="1"/>
  <c r="F109" i="1"/>
  <c r="H109" i="1"/>
  <c r="G173" i="1"/>
  <c r="F173" i="1"/>
  <c r="H70" i="1"/>
  <c r="F70" i="1"/>
  <c r="G70" i="1"/>
  <c r="H173" i="1"/>
  <c r="J32" i="1" l="1"/>
  <c r="J22" i="1"/>
  <c r="J38" i="1"/>
  <c r="J33" i="1"/>
  <c r="J37" i="1" l="1"/>
  <c r="J64" i="1"/>
  <c r="J30" i="1"/>
  <c r="J26" i="1"/>
  <c r="J18" i="1"/>
  <c r="J8" i="1"/>
  <c r="J5" i="1"/>
  <c r="J89" i="1" l="1"/>
  <c r="J117" i="1" s="1"/>
  <c r="J116" i="1" s="1"/>
  <c r="J10" i="1"/>
  <c r="J52" i="1"/>
  <c r="J40" i="1"/>
  <c r="J24" i="1"/>
  <c r="J28" i="1" s="1"/>
  <c r="J7" i="1"/>
  <c r="I8" i="1"/>
  <c r="I10" i="1"/>
  <c r="H10" i="1"/>
  <c r="J92" i="1" l="1"/>
  <c r="J120" i="1" s="1"/>
  <c r="J77" i="1"/>
  <c r="H132" i="1"/>
  <c r="H146" i="1" s="1"/>
  <c r="I132" i="1"/>
  <c r="I146" i="1" s="1"/>
  <c r="J132" i="1"/>
  <c r="J146" i="1" s="1"/>
  <c r="J9" i="1"/>
  <c r="I5" i="1"/>
  <c r="I37" i="1"/>
  <c r="I33" i="1"/>
  <c r="I32" i="1"/>
  <c r="I24" i="1"/>
  <c r="I22" i="1"/>
  <c r="J59" i="1" l="1"/>
  <c r="J84" i="1" s="1"/>
  <c r="J134" i="1" s="1"/>
  <c r="J148" i="1" s="1"/>
  <c r="J63" i="1"/>
  <c r="J88" i="1" s="1"/>
  <c r="I48" i="1"/>
  <c r="J48" i="1"/>
  <c r="I58" i="1"/>
  <c r="J58" i="1"/>
  <c r="J50" i="1"/>
  <c r="J76" i="1" s="1"/>
  <c r="I7" i="1"/>
  <c r="J14" i="1"/>
  <c r="J11" i="1"/>
  <c r="I18" i="1"/>
  <c r="I30" i="1"/>
  <c r="H5" i="1"/>
  <c r="G5" i="1"/>
  <c r="F5" i="1"/>
  <c r="E5" i="1"/>
  <c r="G18" i="1"/>
  <c r="F18" i="1"/>
  <c r="H33" i="1"/>
  <c r="G33" i="1"/>
  <c r="G30" i="1"/>
  <c r="E18" i="1"/>
  <c r="F33" i="1"/>
  <c r="E33" i="1"/>
  <c r="F30" i="1"/>
  <c r="E30" i="1"/>
  <c r="G24" i="1"/>
  <c r="G10" i="1"/>
  <c r="G132" i="1" s="1"/>
  <c r="G146" i="1" s="1"/>
  <c r="F10" i="1"/>
  <c r="F24" i="1"/>
  <c r="E24" i="1"/>
  <c r="J166" i="1" l="1"/>
  <c r="J138" i="1"/>
  <c r="J152" i="1" s="1"/>
  <c r="J105" i="1"/>
  <c r="J83" i="1"/>
  <c r="J111" i="1" s="1"/>
  <c r="J109" i="1" s="1"/>
  <c r="J176" i="1"/>
  <c r="J173" i="1" s="1"/>
  <c r="I83" i="1"/>
  <c r="I111" i="1" s="1"/>
  <c r="I109" i="1" s="1"/>
  <c r="I176" i="1"/>
  <c r="I173" i="1" s="1"/>
  <c r="J74" i="1"/>
  <c r="J168" i="1"/>
  <c r="I74" i="1"/>
  <c r="I168" i="1"/>
  <c r="J131" i="1"/>
  <c r="F132" i="1"/>
  <c r="F146" i="1" s="1"/>
  <c r="G50" i="1"/>
  <c r="G76" i="1" s="1"/>
  <c r="G105" i="1" s="1"/>
  <c r="G107" i="1" s="1"/>
  <c r="F44" i="1"/>
  <c r="F50" i="1"/>
  <c r="F76" i="1" s="1"/>
  <c r="F105" i="1" s="1"/>
  <c r="F107" i="1" s="1"/>
  <c r="G59" i="1"/>
  <c r="G84" i="1" s="1"/>
  <c r="G134" i="1" s="1"/>
  <c r="G148" i="1" s="1"/>
  <c r="F56" i="1"/>
  <c r="G44" i="1"/>
  <c r="F59" i="1"/>
  <c r="F84" i="1" s="1"/>
  <c r="F134" i="1" s="1"/>
  <c r="F148" i="1" s="1"/>
  <c r="J44" i="1"/>
  <c r="J54" i="1" s="1"/>
  <c r="G56" i="1"/>
  <c r="J56" i="1"/>
  <c r="H59" i="1"/>
  <c r="H84" i="1" s="1"/>
  <c r="H134" i="1" s="1"/>
  <c r="H148" i="1" s="1"/>
  <c r="I59" i="1"/>
  <c r="I84" i="1" s="1"/>
  <c r="I134" i="1" s="1"/>
  <c r="I148" i="1" s="1"/>
  <c r="H7" i="1"/>
  <c r="E7" i="1"/>
  <c r="F7" i="1"/>
  <c r="I9" i="1"/>
  <c r="G7" i="1"/>
  <c r="I40" i="1"/>
  <c r="I28" i="1"/>
  <c r="H18" i="1"/>
  <c r="H30" i="1"/>
  <c r="H37" i="1"/>
  <c r="F28" i="1"/>
  <c r="H24" i="1"/>
  <c r="G28" i="1"/>
  <c r="E28" i="1"/>
  <c r="H56" i="1" l="1"/>
  <c r="H81" i="1" s="1"/>
  <c r="J130" i="1"/>
  <c r="J144" i="1" s="1"/>
  <c r="J145" i="1"/>
  <c r="I70" i="1"/>
  <c r="I103" i="1"/>
  <c r="I99" i="1" s="1"/>
  <c r="J70" i="1"/>
  <c r="J79" i="1" s="1"/>
  <c r="J103" i="1"/>
  <c r="J99" i="1" s="1"/>
  <c r="J107" i="1" s="1"/>
  <c r="F138" i="1"/>
  <c r="F152" i="1" s="1"/>
  <c r="F79" i="1"/>
  <c r="G138" i="1"/>
  <c r="G152" i="1" s="1"/>
  <c r="G79" i="1"/>
  <c r="H44" i="1"/>
  <c r="G54" i="1"/>
  <c r="F54" i="1"/>
  <c r="H50" i="1"/>
  <c r="H76" i="1" s="1"/>
  <c r="H105" i="1" s="1"/>
  <c r="H107" i="1" s="1"/>
  <c r="I50" i="1"/>
  <c r="I76" i="1" s="1"/>
  <c r="I105" i="1" s="1"/>
  <c r="J66" i="1"/>
  <c r="J81" i="1"/>
  <c r="J122" i="1" s="1"/>
  <c r="I56" i="1"/>
  <c r="F81" i="1"/>
  <c r="G81" i="1"/>
  <c r="I44" i="1"/>
  <c r="I63" i="1"/>
  <c r="I88" i="1" s="1"/>
  <c r="F9" i="1"/>
  <c r="G9" i="1"/>
  <c r="E9" i="1"/>
  <c r="I11" i="1"/>
  <c r="I14" i="1"/>
  <c r="H9" i="1"/>
  <c r="H28" i="1"/>
  <c r="H40" i="1"/>
  <c r="I107" i="1" l="1"/>
  <c r="G137" i="1"/>
  <c r="H137" i="1"/>
  <c r="H151" i="1" s="1"/>
  <c r="I166" i="1"/>
  <c r="J169" i="1"/>
  <c r="J165" i="1" s="1"/>
  <c r="J179" i="1" s="1"/>
  <c r="F137" i="1"/>
  <c r="I138" i="1"/>
  <c r="I152" i="1" s="1"/>
  <c r="I79" i="1"/>
  <c r="H138" i="1"/>
  <c r="H152" i="1" s="1"/>
  <c r="H79" i="1"/>
  <c r="J94" i="1"/>
  <c r="J137" i="1"/>
  <c r="I131" i="1"/>
  <c r="I145" i="1" s="1"/>
  <c r="J133" i="1"/>
  <c r="I54" i="1"/>
  <c r="H54" i="1"/>
  <c r="I66" i="1"/>
  <c r="I81" i="1"/>
  <c r="I122" i="1" s="1"/>
  <c r="E11" i="1"/>
  <c r="E14" i="1"/>
  <c r="H14" i="1"/>
  <c r="H11" i="1"/>
  <c r="G14" i="1"/>
  <c r="G11" i="1"/>
  <c r="F14" i="1"/>
  <c r="F11" i="1"/>
  <c r="H153" i="1" l="1"/>
  <c r="G139" i="1"/>
  <c r="G151" i="1"/>
  <c r="G153" i="1" s="1"/>
  <c r="F139" i="1"/>
  <c r="F151" i="1"/>
  <c r="F153" i="1" s="1"/>
  <c r="J135" i="1"/>
  <c r="J147" i="1"/>
  <c r="J149" i="1" s="1"/>
  <c r="F169" i="1"/>
  <c r="F133" i="1"/>
  <c r="F147" i="1" s="1"/>
  <c r="J139" i="1"/>
  <c r="J151" i="1"/>
  <c r="J153" i="1" s="1"/>
  <c r="H139" i="1"/>
  <c r="G166" i="1"/>
  <c r="H169" i="1"/>
  <c r="F166" i="1"/>
  <c r="G169" i="1"/>
  <c r="H166" i="1"/>
  <c r="I169" i="1"/>
  <c r="I165" i="1" s="1"/>
  <c r="I179" i="1" s="1"/>
  <c r="I94" i="1"/>
  <c r="I137" i="1"/>
  <c r="H133" i="1"/>
  <c r="H147" i="1" s="1"/>
  <c r="G131" i="1"/>
  <c r="G145" i="1" s="1"/>
  <c r="F131" i="1"/>
  <c r="G133" i="1"/>
  <c r="G147" i="1" s="1"/>
  <c r="I133" i="1"/>
  <c r="H131" i="1"/>
  <c r="H145" i="1" s="1"/>
  <c r="I130" i="1"/>
  <c r="I144" i="1" s="1"/>
  <c r="F39" i="1"/>
  <c r="G39" i="1"/>
  <c r="E39" i="1"/>
  <c r="E37" i="1" s="1"/>
  <c r="J155" i="1" l="1"/>
  <c r="G149" i="1"/>
  <c r="G155" i="1" s="1"/>
  <c r="I135" i="1"/>
  <c r="I147" i="1"/>
  <c r="I149" i="1" s="1"/>
  <c r="F145" i="1"/>
  <c r="F149" i="1" s="1"/>
  <c r="F155" i="1" s="1"/>
  <c r="F135" i="1"/>
  <c r="I139" i="1"/>
  <c r="I151" i="1"/>
  <c r="I153" i="1" s="1"/>
  <c r="H149" i="1"/>
  <c r="H155" i="1" s="1"/>
  <c r="F165" i="1"/>
  <c r="F179" i="1" s="1"/>
  <c r="H165" i="1"/>
  <c r="H179" i="1" s="1"/>
  <c r="G165" i="1"/>
  <c r="G179" i="1" s="1"/>
  <c r="H130" i="1"/>
  <c r="H144" i="1" s="1"/>
  <c r="H135" i="1"/>
  <c r="F130" i="1"/>
  <c r="F144" i="1" s="1"/>
  <c r="G130" i="1"/>
  <c r="G144" i="1" s="1"/>
  <c r="G135" i="1"/>
  <c r="F37" i="1"/>
  <c r="F65" i="1"/>
  <c r="F90" i="1" s="1"/>
  <c r="F118" i="1" s="1"/>
  <c r="F116" i="1" s="1"/>
  <c r="F122" i="1" s="1"/>
  <c r="G37" i="1"/>
  <c r="H65" i="1"/>
  <c r="H90" i="1" s="1"/>
  <c r="H118" i="1" s="1"/>
  <c r="H116" i="1" s="1"/>
  <c r="G65" i="1"/>
  <c r="G90" i="1" s="1"/>
  <c r="G118" i="1" s="1"/>
  <c r="G116" i="1" s="1"/>
  <c r="E40" i="1"/>
  <c r="I155" i="1" l="1"/>
  <c r="F40" i="1"/>
  <c r="G40" i="1"/>
  <c r="G63" i="1"/>
  <c r="H63" i="1"/>
  <c r="F63" i="1"/>
  <c r="H88" i="1" l="1"/>
  <c r="H66" i="1"/>
  <c r="G88" i="1"/>
  <c r="G66" i="1"/>
  <c r="F88" i="1"/>
  <c r="F94" i="1" s="1"/>
  <c r="F66" i="1"/>
  <c r="H94" i="1" l="1"/>
  <c r="H122" i="1"/>
  <c r="G94" i="1"/>
  <c r="G122" i="1"/>
</calcChain>
</file>

<file path=xl/sharedStrings.xml><?xml version="1.0" encoding="utf-8"?>
<sst xmlns="http://schemas.openxmlformats.org/spreadsheetml/2006/main" count="315" uniqueCount="139">
  <si>
    <t xml:space="preserve"> </t>
  </si>
  <si>
    <t xml:space="preserve">EBITDA </t>
  </si>
  <si>
    <t>EBIT</t>
  </si>
  <si>
    <t>GELİR TABLOSU  ( TL )</t>
  </si>
  <si>
    <t>NET SATIŞ GELİRİ</t>
  </si>
  <si>
    <t>SATILAN MALIN MALİYETİ</t>
  </si>
  <si>
    <t>BRÜT KAR</t>
  </si>
  <si>
    <t>FAALİYET GİDERLERİ</t>
  </si>
  <si>
    <t>FAALİYET KARI</t>
  </si>
  <si>
    <t>DİĞER FAALİYETLERDEN GELİR/GİDER</t>
  </si>
  <si>
    <t>AMORTİSMAN</t>
  </si>
  <si>
    <t>FİNANSAL GİDERLER</t>
  </si>
  <si>
    <t>VERGİ</t>
  </si>
  <si>
    <t>NET KAR</t>
  </si>
  <si>
    <t>BİLANÇO  ( TL )</t>
  </si>
  <si>
    <t>CARİ VARLIKLAR</t>
  </si>
  <si>
    <t>DURAN VARLIKLAR ( NET )</t>
  </si>
  <si>
    <t>TOPLAM AKTİF</t>
  </si>
  <si>
    <t>CARİ BORÇLAR</t>
  </si>
  <si>
    <t>UZUN VADELİ BORÇLAR</t>
  </si>
  <si>
    <t>ÖZ SERMAYE</t>
  </si>
  <si>
    <t>TOPLAM PASİF</t>
  </si>
  <si>
    <t>Kasa, Banka ve Çekler</t>
  </si>
  <si>
    <t>Ticari Alacaklar</t>
  </si>
  <si>
    <t>Stoklar</t>
  </si>
  <si>
    <t>Diğer Cari Aktif</t>
  </si>
  <si>
    <t>Duran Varlıklar ( Brüt )</t>
  </si>
  <si>
    <t>Birikmiş Amortisman (-)</t>
  </si>
  <si>
    <t>Kısa Vadeli Banka Kredileri</t>
  </si>
  <si>
    <t>Uzun Vadeli Banka Kredileri</t>
  </si>
  <si>
    <t>K.V. Ticari Borçlar ve diğerleri</t>
  </si>
  <si>
    <t>U.V. Ticari Borçlar ve diğerleri</t>
  </si>
  <si>
    <t>Ödenmiş Sermaye ve Birikmiş Karlar</t>
  </si>
  <si>
    <t>Dönem Karı ( Net )</t>
  </si>
  <si>
    <t>FON AKIMI TABLOSU ( TL )</t>
  </si>
  <si>
    <t>CARİ VARLIKLARDA ARTIŞ</t>
  </si>
  <si>
    <t>NET DURAN VARLIKLARDA ARTIŞ</t>
  </si>
  <si>
    <t>AKTİFLERDE  ARTIŞ</t>
  </si>
  <si>
    <t>CARİ BORÇLARDA ARTIŞ</t>
  </si>
  <si>
    <t>UZUN VADELİ BORÇLARDA ARTIŞ</t>
  </si>
  <si>
    <t>ÖZ SERMAYEDE ARTIŞ</t>
  </si>
  <si>
    <t>PASİFLERDE ARTIŞ</t>
  </si>
  <si>
    <t>KAYNAKLAR</t>
  </si>
  <si>
    <t>HARCAMALAR</t>
  </si>
  <si>
    <t>FAALİYETTEN SAĞLANAN NAKİT</t>
  </si>
  <si>
    <t>Net Kar</t>
  </si>
  <si>
    <t>Amortisman</t>
  </si>
  <si>
    <t>SERMAYE ARTIŞI VE DİĞER ÖZ SERMAYE H.</t>
  </si>
  <si>
    <t>NAKİT KAYNAKLARI</t>
  </si>
  <si>
    <t>NAKİT HARCAMALARI</t>
  </si>
  <si>
    <t>INCOME TABLE ( TL )</t>
  </si>
  <si>
    <t>NET SALES REVENUE</t>
  </si>
  <si>
    <t>COST OF GOODS SOLD</t>
  </si>
  <si>
    <t>GROSS MARGIN</t>
  </si>
  <si>
    <t>OPERATING EXPENSES</t>
  </si>
  <si>
    <t>NET OPERATING PROFIT</t>
  </si>
  <si>
    <t>OTHER INCOME/LOSS</t>
  </si>
  <si>
    <t>AMORTISATION</t>
  </si>
  <si>
    <t>FINANCIAL EXPENSES</t>
  </si>
  <si>
    <t>TAX</t>
  </si>
  <si>
    <t>BALANCE SHEET ( TL )</t>
  </si>
  <si>
    <t>CURRENT ASSETS</t>
  </si>
  <si>
    <t>Stocks</t>
  </si>
  <si>
    <t>Other Current Assets</t>
  </si>
  <si>
    <t>Cash, Cheques and Banks</t>
  </si>
  <si>
    <t>Accounts Receivables ( Trade )</t>
  </si>
  <si>
    <t>FIXED ASSETS (Net )</t>
  </si>
  <si>
    <t>Fixed Assts ( Brut )</t>
  </si>
  <si>
    <t>Accumulated Depreciation (-)</t>
  </si>
  <si>
    <t>TOTAL ASSETS</t>
  </si>
  <si>
    <t>CURRENT LIABILITIES</t>
  </si>
  <si>
    <t>LONG TERM DEBTS</t>
  </si>
  <si>
    <t>TOTAL LIABILITIES</t>
  </si>
  <si>
    <t>Short Term Financial Debts</t>
  </si>
  <si>
    <t>Long Term Financial Debts</t>
  </si>
  <si>
    <t>LT Accounts Payables ( Inc. Trade )</t>
  </si>
  <si>
    <t>ST Accounts Payables ( Inc. Trade )</t>
  </si>
  <si>
    <t>Paid in Capital &amp; Retained Earnings</t>
  </si>
  <si>
    <t>Net Income</t>
  </si>
  <si>
    <t>FLOW OF FUNDS ( TL )</t>
  </si>
  <si>
    <t>INCREASE IN CURRENT ASSETS</t>
  </si>
  <si>
    <t>INCREASE IN FIXED ASSETS (Net )</t>
  </si>
  <si>
    <t>INCREASE IN ASSETS</t>
  </si>
  <si>
    <t>INCREASE IN LIABILITIES</t>
  </si>
  <si>
    <t>INCREASE IN LONG TERM DEBTS</t>
  </si>
  <si>
    <t>INCREASE IN SHAREHOLDERS' EQUITY</t>
  </si>
  <si>
    <t>INCREASE IN CURRENT LIABILITIES</t>
  </si>
  <si>
    <t>SHAREHOLDERS' EQUITY</t>
  </si>
  <si>
    <t>CASH FLOW ( TL )</t>
  </si>
  <si>
    <t>SPENDING</t>
  </si>
  <si>
    <t>SOURCES</t>
  </si>
  <si>
    <t>FREE CASH FLOW</t>
  </si>
  <si>
    <t>CASH FROM OPERATIONS</t>
  </si>
  <si>
    <t>Amortisation</t>
  </si>
  <si>
    <t>INCREASE IN SHAREHOLDERS' EQUITY(*)</t>
  </si>
  <si>
    <t xml:space="preserve">(*) </t>
  </si>
  <si>
    <t>Except Increase in Net Income</t>
  </si>
  <si>
    <t>INCREASE IN NET WORKING CAPITAL</t>
  </si>
  <si>
    <t>FINANCIAL ANALYSIS</t>
  </si>
  <si>
    <t>Current Ratio</t>
  </si>
  <si>
    <t>Average Duration of A/R</t>
  </si>
  <si>
    <t>Average Duration of Stocks</t>
  </si>
  <si>
    <t>%</t>
  </si>
  <si>
    <t>Unit</t>
  </si>
  <si>
    <t>Days</t>
  </si>
  <si>
    <t>ST Financial Debt/Net Sales</t>
  </si>
  <si>
    <t>Effect of Financial Leverage</t>
  </si>
  <si>
    <t>Return On Equity</t>
  </si>
  <si>
    <t>Return On Investment</t>
  </si>
  <si>
    <t>RATIOS OF INCOME TABLE</t>
  </si>
  <si>
    <t>NET INCOME  AFTER TAX</t>
  </si>
  <si>
    <t>YATIRIMLAR(*)</t>
  </si>
  <si>
    <t>INVESTMENTS (**)</t>
  </si>
  <si>
    <t>(**) Increase in Brut Fixed Assets</t>
  </si>
  <si>
    <t>Fixed Assets ( Brut )</t>
  </si>
  <si>
    <t>NET INCOME AFTER TAX</t>
  </si>
  <si>
    <t>DÖNEM BAŞI NAKİT</t>
  </si>
  <si>
    <t>NAKİT GİRİŞLERİ</t>
  </si>
  <si>
    <t>NAKİT ÇIKIŞLARI</t>
  </si>
  <si>
    <t>TİCARİ ALACAKLARDA AZALIŞ</t>
  </si>
  <si>
    <t>DİĞER CARİ AKTİF AZALIŞI</t>
  </si>
  <si>
    <t>KISA VADELİ KREDİLERDE AZALIŞ</t>
  </si>
  <si>
    <t>DÖNEM SONU NAKİT</t>
  </si>
  <si>
    <t>UZUN VADELİ TİCARİ BORÇLARDA ARTIŞ</t>
  </si>
  <si>
    <t>UZUN VADELİ MALİ BORÇLARDA ARTIŞ</t>
  </si>
  <si>
    <t>KISA VADELİ TİCARİ BORÇLARDA AZALIŞ</t>
  </si>
  <si>
    <t>YATIRIMLAR</t>
  </si>
  <si>
    <t>NET KAR + AMORTİSMAN</t>
  </si>
  <si>
    <t>STOKLARDA ARTIŞ</t>
  </si>
  <si>
    <t>YATIRIM</t>
  </si>
  <si>
    <t>Total Fin. Debt/Shareholders' Equity</t>
  </si>
  <si>
    <t>KLASİK NAKİT AKIMI TABLOSU (TL)</t>
  </si>
  <si>
    <t>BİLANÇO TİPİ NAKİT AKIMI TABLOSU (TL)-1</t>
  </si>
  <si>
    <t>BİLANÇO TİPİ NAKİT AKIMI TABLOSU (TL)-2</t>
  </si>
  <si>
    <t>SERBEST NAKİT AKIMI</t>
  </si>
  <si>
    <t>(*) Hazır Değerlerdeki artışı dışarıda bıraktık</t>
  </si>
  <si>
    <r>
      <rPr>
        <sz val="11"/>
        <color rgb="FF92D050"/>
        <rFont val="Calibri"/>
        <family val="2"/>
        <charset val="162"/>
        <scheme val="minor"/>
      </rPr>
      <t>NET</t>
    </r>
    <r>
      <rPr>
        <sz val="11"/>
        <color theme="1"/>
        <rFont val="Calibri"/>
        <family val="2"/>
        <charset val="162"/>
        <scheme val="minor"/>
      </rPr>
      <t xml:space="preserve"> İŞLETME SERMAYESİ İHTİYACINDA ARTIŞ </t>
    </r>
  </si>
  <si>
    <t>NET İŞLETME SERMAYESİ İHTİYACINDA ARTIŞ (*)</t>
  </si>
  <si>
    <t>UFRS TARZI NAKİT AKIMI  (TL)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</si>
</sst>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_-* #,##0\ _T_L_-;\-* #,##0\ _T_L_-;_-* &quot;-&quot;??\ _T_L_-;_-@_-"/>
    <numFmt numFmtId="166" formatCode="#,##0_ ;\-#,##0\ 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92D05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5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0" fillId="0" borderId="0" xfId="0" applyNumberFormat="1"/>
    <xf numFmtId="3" fontId="0" fillId="0" borderId="0" xfId="0" applyNumberFormat="1" applyFill="1"/>
    <xf numFmtId="0" fontId="0" fillId="0" borderId="0" xfId="0" applyAlignment="1">
      <alignment horizontal="right"/>
    </xf>
    <xf numFmtId="0" fontId="2" fillId="0" borderId="0" xfId="0" applyFont="1"/>
    <xf numFmtId="3" fontId="0" fillId="3" borderId="0" xfId="0" applyNumberFormat="1" applyFill="1"/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0" fontId="1" fillId="0" borderId="0" xfId="0" applyFont="1" applyAlignment="1">
      <alignment horizontal="right"/>
    </xf>
    <xf numFmtId="3" fontId="1" fillId="0" borderId="0" xfId="0" applyNumberFormat="1" applyFont="1" applyFill="1"/>
    <xf numFmtId="3" fontId="2" fillId="2" borderId="0" xfId="0" applyNumberFormat="1" applyFont="1" applyFill="1"/>
    <xf numFmtId="0" fontId="0" fillId="2" borderId="0" xfId="0" applyFill="1"/>
    <xf numFmtId="165" fontId="5" fillId="0" borderId="0" xfId="1" applyNumberFormat="1" applyFont="1" applyFill="1"/>
    <xf numFmtId="166" fontId="5" fillId="0" borderId="0" xfId="1" applyNumberFormat="1" applyFont="1" applyFill="1"/>
    <xf numFmtId="3" fontId="0" fillId="0" borderId="0" xfId="0" applyNumberFormat="1" applyFont="1" applyFill="1"/>
    <xf numFmtId="4" fontId="0" fillId="0" borderId="0" xfId="0" applyNumberFormat="1" applyFill="1"/>
    <xf numFmtId="0" fontId="0" fillId="0" borderId="0" xfId="0" applyFill="1"/>
    <xf numFmtId="0" fontId="1" fillId="0" borderId="0" xfId="0" applyFont="1" applyFill="1" applyAlignment="1">
      <alignment horizontal="right"/>
    </xf>
    <xf numFmtId="3" fontId="2" fillId="0" borderId="0" xfId="0" applyNumberFormat="1" applyFont="1" applyFill="1"/>
    <xf numFmtId="3" fontId="0" fillId="0" borderId="0" xfId="0" applyNumberFormat="1" applyFont="1" applyAlignment="1">
      <alignment horizontal="left"/>
    </xf>
    <xf numFmtId="3" fontId="6" fillId="0" borderId="0" xfId="0" applyNumberFormat="1" applyFont="1"/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left"/>
    </xf>
    <xf numFmtId="3" fontId="0" fillId="2" borderId="0" xfId="0" applyNumberFormat="1" applyFill="1"/>
    <xf numFmtId="3" fontId="0" fillId="0" borderId="0" xfId="0" applyNumberFormat="1" applyFont="1"/>
    <xf numFmtId="3" fontId="0" fillId="0" borderId="0" xfId="0" applyNumberFormat="1" applyFont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2" borderId="0" xfId="0" applyNumberFormat="1" applyFont="1" applyFill="1"/>
    <xf numFmtId="3" fontId="1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80"/>
  <sheetViews>
    <sheetView tabSelected="1" zoomScale="90" zoomScaleNormal="90" workbookViewId="0">
      <selection activeCell="D10" sqref="D10"/>
    </sheetView>
  </sheetViews>
  <sheetFormatPr defaultRowHeight="14.4" x14ac:dyDescent="0.3"/>
  <cols>
    <col min="1" max="1" width="2.5546875" customWidth="1"/>
    <col min="2" max="2" width="3.6640625" customWidth="1"/>
    <col min="3" max="3" width="44.5546875" customWidth="1"/>
    <col min="4" max="4" width="13.33203125" customWidth="1"/>
    <col min="5" max="5" width="13.109375" customWidth="1"/>
    <col min="6" max="6" width="13.5546875" customWidth="1"/>
    <col min="7" max="7" width="12.5546875" customWidth="1"/>
    <col min="8" max="9" width="13" customWidth="1"/>
    <col min="10" max="10" width="13.88671875" customWidth="1"/>
    <col min="11" max="11" width="12.33203125" customWidth="1"/>
    <col min="12" max="12" width="30.33203125" customWidth="1"/>
    <col min="13" max="13" width="10.5546875" customWidth="1"/>
  </cols>
  <sheetData>
    <row r="2" spans="2:10" ht="18" x14ac:dyDescent="0.35">
      <c r="B2" s="7" t="s">
        <v>3</v>
      </c>
      <c r="D2" s="2">
        <v>2011</v>
      </c>
      <c r="E2" s="2">
        <v>2012</v>
      </c>
      <c r="F2" s="2">
        <v>2013</v>
      </c>
      <c r="G2" s="2">
        <v>2014</v>
      </c>
      <c r="H2" s="2">
        <v>2015</v>
      </c>
      <c r="I2" s="3">
        <v>2016</v>
      </c>
      <c r="J2" s="3">
        <v>2017</v>
      </c>
    </row>
    <row r="3" spans="2:10" x14ac:dyDescent="0.3">
      <c r="B3" t="s">
        <v>4</v>
      </c>
      <c r="D3" s="1"/>
      <c r="E3" s="1">
        <v>7868239.6799999997</v>
      </c>
      <c r="F3" s="1">
        <v>8674703.9100000001</v>
      </c>
      <c r="G3" s="1">
        <v>10668825.189999999</v>
      </c>
      <c r="H3" s="1">
        <v>14740704</v>
      </c>
      <c r="I3" s="1">
        <v>15477213.91</v>
      </c>
      <c r="J3" s="1">
        <v>16995355.91</v>
      </c>
    </row>
    <row r="4" spans="2:10" x14ac:dyDescent="0.3">
      <c r="B4" t="s">
        <v>5</v>
      </c>
      <c r="D4" s="1"/>
      <c r="E4" s="1">
        <v>5240983.49</v>
      </c>
      <c r="F4" s="1">
        <v>6547304.29</v>
      </c>
      <c r="G4" s="1">
        <v>7761647.8300000001</v>
      </c>
      <c r="H4" s="1">
        <v>10888641</v>
      </c>
      <c r="I4" s="1">
        <v>11898521.57</v>
      </c>
      <c r="J4" s="1">
        <v>13230712.720000001</v>
      </c>
    </row>
    <row r="5" spans="2:10" x14ac:dyDescent="0.3">
      <c r="B5" t="s">
        <v>6</v>
      </c>
      <c r="D5" s="1"/>
      <c r="E5" s="1">
        <f t="shared" ref="E5:J5" si="0">E3-E4</f>
        <v>2627256.1899999995</v>
      </c>
      <c r="F5" s="1">
        <f t="shared" si="0"/>
        <v>2127399.62</v>
      </c>
      <c r="G5" s="1">
        <f t="shared" si="0"/>
        <v>2907177.3599999994</v>
      </c>
      <c r="H5" s="5">
        <f t="shared" si="0"/>
        <v>3852063</v>
      </c>
      <c r="I5" s="5">
        <f t="shared" si="0"/>
        <v>3578692.34</v>
      </c>
      <c r="J5" s="5">
        <f t="shared" si="0"/>
        <v>3764643.1899999995</v>
      </c>
    </row>
    <row r="6" spans="2:10" x14ac:dyDescent="0.3">
      <c r="B6" t="s">
        <v>7</v>
      </c>
      <c r="D6" s="1"/>
      <c r="E6" s="1">
        <v>1650014</v>
      </c>
      <c r="F6" s="1">
        <v>1232438</v>
      </c>
      <c r="G6" s="1">
        <v>1760629</v>
      </c>
      <c r="H6" s="1">
        <v>1978341</v>
      </c>
      <c r="I6" s="1">
        <v>2511903.0499999998</v>
      </c>
      <c r="J6" s="1">
        <v>2465288.7200000002</v>
      </c>
    </row>
    <row r="7" spans="2:10" x14ac:dyDescent="0.3">
      <c r="B7" t="s">
        <v>8</v>
      </c>
      <c r="D7" s="1"/>
      <c r="E7" s="1">
        <f t="shared" ref="E7:J7" si="1">E5-E6</f>
        <v>977242.18999999948</v>
      </c>
      <c r="F7" s="1">
        <f t="shared" si="1"/>
        <v>894961.62000000011</v>
      </c>
      <c r="G7" s="1">
        <f t="shared" si="1"/>
        <v>1146548.3599999994</v>
      </c>
      <c r="H7" s="1">
        <f t="shared" si="1"/>
        <v>1873722</v>
      </c>
      <c r="I7" s="1">
        <f t="shared" si="1"/>
        <v>1066789.29</v>
      </c>
      <c r="J7" s="1">
        <f t="shared" si="1"/>
        <v>1299354.4699999993</v>
      </c>
    </row>
    <row r="8" spans="2:10" x14ac:dyDescent="0.3">
      <c r="B8" t="s">
        <v>9</v>
      </c>
      <c r="D8" s="1"/>
      <c r="E8" s="1">
        <v>41400</v>
      </c>
      <c r="F8" s="1">
        <v>77321</v>
      </c>
      <c r="G8" s="1">
        <v>165969</v>
      </c>
      <c r="H8" s="1">
        <v>-391408</v>
      </c>
      <c r="I8" s="1">
        <f>185528.71-101541.73+578998.49-114741.96</f>
        <v>548243.51</v>
      </c>
      <c r="J8" s="1">
        <f>150763.05-237617.48+196496.15-103034.21</f>
        <v>6607.5099999999657</v>
      </c>
    </row>
    <row r="9" spans="2:10" x14ac:dyDescent="0.3">
      <c r="B9" t="s">
        <v>2</v>
      </c>
      <c r="D9" s="1"/>
      <c r="E9" s="1">
        <f t="shared" ref="E9:J9" si="2">E7+E8</f>
        <v>1018642.1899999995</v>
      </c>
      <c r="F9" s="1">
        <f t="shared" si="2"/>
        <v>972282.62000000011</v>
      </c>
      <c r="G9" s="1">
        <f t="shared" si="2"/>
        <v>1312517.3599999994</v>
      </c>
      <c r="H9" s="1">
        <f t="shared" si="2"/>
        <v>1482314</v>
      </c>
      <c r="I9" s="1">
        <f t="shared" si="2"/>
        <v>1615032.8</v>
      </c>
      <c r="J9" s="1">
        <f t="shared" si="2"/>
        <v>1305961.9799999993</v>
      </c>
    </row>
    <row r="10" spans="2:10" x14ac:dyDescent="0.3">
      <c r="B10" t="s">
        <v>10</v>
      </c>
      <c r="D10" s="1"/>
      <c r="E10" s="1">
        <f t="shared" ref="E10:J10" si="3">E26-D26</f>
        <v>367030.1100000001</v>
      </c>
      <c r="F10" s="1">
        <f t="shared" si="3"/>
        <v>518324.86999999988</v>
      </c>
      <c r="G10" s="1">
        <f t="shared" si="3"/>
        <v>341339.33000000007</v>
      </c>
      <c r="H10" s="1">
        <f t="shared" si="3"/>
        <v>460208.22</v>
      </c>
      <c r="I10" s="1">
        <f t="shared" si="3"/>
        <v>98786.259999999776</v>
      </c>
      <c r="J10" s="1">
        <f t="shared" si="3"/>
        <v>790030.75</v>
      </c>
    </row>
    <row r="11" spans="2:10" x14ac:dyDescent="0.3">
      <c r="B11" t="s">
        <v>1</v>
      </c>
      <c r="D11" s="1"/>
      <c r="E11" s="1">
        <f t="shared" ref="E11:J11" si="4">E9+E10</f>
        <v>1385672.2999999996</v>
      </c>
      <c r="F11" s="1">
        <f t="shared" si="4"/>
        <v>1490607.49</v>
      </c>
      <c r="G11" s="1">
        <f t="shared" si="4"/>
        <v>1653856.6899999995</v>
      </c>
      <c r="H11" s="1">
        <f t="shared" si="4"/>
        <v>1942522.22</v>
      </c>
      <c r="I11" s="1">
        <f t="shared" si="4"/>
        <v>1713819.0599999998</v>
      </c>
      <c r="J11" s="1">
        <f t="shared" si="4"/>
        <v>2095992.7299999993</v>
      </c>
    </row>
    <row r="12" spans="2:10" x14ac:dyDescent="0.3">
      <c r="B12" t="s">
        <v>11</v>
      </c>
      <c r="D12" s="1"/>
      <c r="E12" s="1">
        <v>703689</v>
      </c>
      <c r="F12" s="1">
        <v>764779</v>
      </c>
      <c r="G12" s="1">
        <v>706551</v>
      </c>
      <c r="H12" s="1">
        <v>882871</v>
      </c>
      <c r="I12" s="1">
        <v>1291443.8500000001</v>
      </c>
      <c r="J12" s="1">
        <v>1265820.68</v>
      </c>
    </row>
    <row r="13" spans="2:10" x14ac:dyDescent="0.3">
      <c r="B13" t="s">
        <v>12</v>
      </c>
      <c r="D13" s="1"/>
      <c r="E13" s="1">
        <v>69458.820000000007</v>
      </c>
      <c r="F13" s="1">
        <v>10864.85</v>
      </c>
      <c r="G13" s="1">
        <v>31668.33</v>
      </c>
      <c r="H13" s="1">
        <v>34264</v>
      </c>
      <c r="I13" s="1">
        <v>87666.18</v>
      </c>
      <c r="J13" s="1">
        <v>21991.69</v>
      </c>
    </row>
    <row r="14" spans="2:10" x14ac:dyDescent="0.3">
      <c r="B14" t="s">
        <v>13</v>
      </c>
      <c r="D14" s="1"/>
      <c r="E14" s="1">
        <f t="shared" ref="E14:J14" si="5">E9-E12-E13</f>
        <v>245494.36999999947</v>
      </c>
      <c r="F14" s="1">
        <f t="shared" si="5"/>
        <v>196638.77000000011</v>
      </c>
      <c r="G14" s="1">
        <f t="shared" si="5"/>
        <v>574298.02999999945</v>
      </c>
      <c r="H14" s="1">
        <f t="shared" si="5"/>
        <v>565179</v>
      </c>
      <c r="I14" s="1">
        <f t="shared" si="5"/>
        <v>235922.76999999996</v>
      </c>
      <c r="J14" s="1">
        <f t="shared" si="5"/>
        <v>18149.609999999349</v>
      </c>
    </row>
    <row r="17" spans="2:11" ht="18" x14ac:dyDescent="0.35">
      <c r="B17" s="7" t="s">
        <v>14</v>
      </c>
      <c r="D17" s="2">
        <v>2011</v>
      </c>
      <c r="E17" s="2">
        <v>2012</v>
      </c>
      <c r="F17" s="2">
        <v>2013</v>
      </c>
      <c r="G17" s="2">
        <v>2014</v>
      </c>
      <c r="H17" s="2">
        <v>2015</v>
      </c>
      <c r="I17" s="3">
        <v>2016</v>
      </c>
      <c r="J17" s="3">
        <v>2017</v>
      </c>
    </row>
    <row r="18" spans="2:11" x14ac:dyDescent="0.3">
      <c r="B18" t="s">
        <v>15</v>
      </c>
      <c r="D18" s="1"/>
      <c r="E18" s="1">
        <f t="shared" ref="E18:J18" si="6">SUM(E19:E22)</f>
        <v>4034552.4399999995</v>
      </c>
      <c r="F18" s="1">
        <f t="shared" si="6"/>
        <v>5035501.38</v>
      </c>
      <c r="G18" s="1">
        <f t="shared" si="6"/>
        <v>5112981.7300000004</v>
      </c>
      <c r="H18" s="1">
        <f t="shared" si="6"/>
        <v>7143423</v>
      </c>
      <c r="I18" s="1">
        <f t="shared" si="6"/>
        <v>8579065.9199999981</v>
      </c>
      <c r="J18" s="1">
        <f t="shared" si="6"/>
        <v>6973424.5099999998</v>
      </c>
    </row>
    <row r="19" spans="2:11" x14ac:dyDescent="0.3">
      <c r="C19" t="s">
        <v>22</v>
      </c>
      <c r="D19" s="1"/>
      <c r="E19" s="1">
        <v>93401.919999999998</v>
      </c>
      <c r="F19" s="1">
        <v>808525.93</v>
      </c>
      <c r="G19" s="1">
        <v>-81677.5</v>
      </c>
      <c r="H19" s="1">
        <v>100943</v>
      </c>
      <c r="I19" s="1">
        <v>1554865.21</v>
      </c>
      <c r="J19" s="1">
        <v>771061.77</v>
      </c>
    </row>
    <row r="20" spans="2:11" x14ac:dyDescent="0.3">
      <c r="C20" t="s">
        <v>23</v>
      </c>
      <c r="D20" s="1"/>
      <c r="E20" s="1">
        <v>2140879.5699999998</v>
      </c>
      <c r="F20" s="1">
        <v>1896040.97</v>
      </c>
      <c r="G20" s="1">
        <v>2486994.29</v>
      </c>
      <c r="H20" s="1">
        <v>3597406</v>
      </c>
      <c r="I20" s="1">
        <v>2862297.06</v>
      </c>
      <c r="J20" s="1">
        <v>2959017.07</v>
      </c>
    </row>
    <row r="21" spans="2:11" x14ac:dyDescent="0.3">
      <c r="C21" t="s">
        <v>24</v>
      </c>
      <c r="D21" s="1"/>
      <c r="E21" s="1">
        <v>1577872.95</v>
      </c>
      <c r="F21" s="1">
        <v>1624051.48</v>
      </c>
      <c r="G21" s="1">
        <v>2055828.94</v>
      </c>
      <c r="H21" s="1">
        <v>2662219</v>
      </c>
      <c r="I21" s="1">
        <v>3035867.78</v>
      </c>
      <c r="J21" s="1">
        <v>2548911.58</v>
      </c>
    </row>
    <row r="22" spans="2:11" x14ac:dyDescent="0.3">
      <c r="C22" t="s">
        <v>25</v>
      </c>
      <c r="D22" s="1"/>
      <c r="E22" s="1">
        <v>222398</v>
      </c>
      <c r="F22" s="1">
        <v>706883</v>
      </c>
      <c r="G22" s="1">
        <v>651836</v>
      </c>
      <c r="H22" s="1">
        <v>782855</v>
      </c>
      <c r="I22" s="1">
        <f>930191.28+195844.59</f>
        <v>1126035.8700000001</v>
      </c>
      <c r="J22" s="1">
        <f>646332.74+48101.35</f>
        <v>694434.09</v>
      </c>
    </row>
    <row r="23" spans="2:11" ht="6.75" customHeight="1" x14ac:dyDescent="0.3">
      <c r="D23" s="1"/>
      <c r="E23" s="1"/>
      <c r="F23" s="1"/>
      <c r="G23" s="1"/>
      <c r="H23" s="1"/>
      <c r="I23" s="1"/>
      <c r="J23" s="1"/>
    </row>
    <row r="24" spans="2:11" x14ac:dyDescent="0.3">
      <c r="B24" t="s">
        <v>16</v>
      </c>
      <c r="D24" s="1"/>
      <c r="E24" s="1">
        <f t="shared" ref="E24:J24" si="7">E25-E26</f>
        <v>5139520.9799999995</v>
      </c>
      <c r="F24" s="1">
        <f t="shared" si="7"/>
        <v>5115651.78</v>
      </c>
      <c r="G24" s="1">
        <f t="shared" si="7"/>
        <v>7109759.3700000001</v>
      </c>
      <c r="H24" s="1">
        <f t="shared" si="7"/>
        <v>8140440</v>
      </c>
      <c r="I24" s="1">
        <f t="shared" si="7"/>
        <v>10243191.91</v>
      </c>
      <c r="J24" s="1">
        <f t="shared" si="7"/>
        <v>12473912.460000001</v>
      </c>
    </row>
    <row r="25" spans="2:11" x14ac:dyDescent="0.3">
      <c r="C25" t="s">
        <v>26</v>
      </c>
      <c r="D25" s="1"/>
      <c r="E25" s="1">
        <v>6332218.5599999996</v>
      </c>
      <c r="F25" s="1">
        <v>6826674.2300000004</v>
      </c>
      <c r="G25" s="1">
        <v>9162121.1500000004</v>
      </c>
      <c r="H25" s="1">
        <v>10653010</v>
      </c>
      <c r="I25" s="1">
        <v>12854548.17</v>
      </c>
      <c r="J25" s="1">
        <v>15875299.470000001</v>
      </c>
    </row>
    <row r="26" spans="2:11" x14ac:dyDescent="0.3">
      <c r="C26" t="s">
        <v>27</v>
      </c>
      <c r="D26" s="1">
        <v>825667.47</v>
      </c>
      <c r="E26" s="1">
        <v>1192697.58</v>
      </c>
      <c r="F26" s="1">
        <v>1711022.45</v>
      </c>
      <c r="G26" s="1">
        <v>2052361.78</v>
      </c>
      <c r="H26" s="1">
        <v>2512570</v>
      </c>
      <c r="I26" s="1">
        <v>2611356.2599999998</v>
      </c>
      <c r="J26" s="1">
        <f>2848818.32+552568.69</f>
        <v>3401387.01</v>
      </c>
    </row>
    <row r="27" spans="2:11" ht="5.25" customHeight="1" x14ac:dyDescent="0.3">
      <c r="D27" s="1"/>
      <c r="E27" s="1"/>
      <c r="F27" s="1"/>
      <c r="G27" s="1"/>
      <c r="H27" s="1"/>
      <c r="I27" s="1"/>
      <c r="J27" s="1"/>
    </row>
    <row r="28" spans="2:11" x14ac:dyDescent="0.3">
      <c r="B28" t="s">
        <v>0</v>
      </c>
      <c r="C28" s="11" t="s">
        <v>17</v>
      </c>
      <c r="D28" s="1"/>
      <c r="E28" s="1">
        <f t="shared" ref="E28:J28" si="8">E18+E24</f>
        <v>9174073.4199999981</v>
      </c>
      <c r="F28" s="1">
        <f t="shared" si="8"/>
        <v>10151153.16</v>
      </c>
      <c r="G28" s="1">
        <f t="shared" si="8"/>
        <v>12222741.100000001</v>
      </c>
      <c r="H28" s="1">
        <f t="shared" si="8"/>
        <v>15283863</v>
      </c>
      <c r="I28" s="1">
        <f t="shared" si="8"/>
        <v>18822257.829999998</v>
      </c>
      <c r="J28" s="1">
        <f t="shared" si="8"/>
        <v>19447336.969999999</v>
      </c>
    </row>
    <row r="29" spans="2:11" x14ac:dyDescent="0.3">
      <c r="D29" s="1"/>
      <c r="E29" s="1"/>
      <c r="F29" s="1"/>
      <c r="G29" s="1"/>
      <c r="H29" s="1"/>
      <c r="I29" s="1"/>
      <c r="J29" s="1"/>
      <c r="K29" s="1"/>
    </row>
    <row r="30" spans="2:11" x14ac:dyDescent="0.3">
      <c r="B30" s="1" t="s">
        <v>18</v>
      </c>
      <c r="C30" s="1"/>
      <c r="D30" s="1"/>
      <c r="E30" s="1">
        <f t="shared" ref="E30:J30" si="9">E31+E32</f>
        <v>4234572.07</v>
      </c>
      <c r="F30" s="1">
        <f t="shared" si="9"/>
        <v>4750234.33</v>
      </c>
      <c r="G30" s="1">
        <f t="shared" si="9"/>
        <v>4762870.0999999996</v>
      </c>
      <c r="H30" s="1">
        <f t="shared" si="9"/>
        <v>6339525</v>
      </c>
      <c r="I30" s="1">
        <f t="shared" si="9"/>
        <v>7783460.4499999993</v>
      </c>
      <c r="J30" s="1">
        <f t="shared" si="9"/>
        <v>6709307.3200000003</v>
      </c>
      <c r="K30" s="1"/>
    </row>
    <row r="31" spans="2:11" x14ac:dyDescent="0.3">
      <c r="B31" s="1"/>
      <c r="C31" s="1" t="s">
        <v>28</v>
      </c>
      <c r="D31" s="1"/>
      <c r="E31" s="1">
        <v>2538153.0699999998</v>
      </c>
      <c r="F31" s="1">
        <v>2098302.9</v>
      </c>
      <c r="G31" s="1">
        <v>2828334.69</v>
      </c>
      <c r="H31" s="5">
        <v>3166122</v>
      </c>
      <c r="I31" s="1">
        <v>5155506.46</v>
      </c>
      <c r="J31" s="1">
        <v>3451617.25</v>
      </c>
      <c r="K31" s="1"/>
    </row>
    <row r="32" spans="2:11" x14ac:dyDescent="0.3">
      <c r="B32" s="1"/>
      <c r="C32" s="1" t="s">
        <v>30</v>
      </c>
      <c r="D32" s="1"/>
      <c r="E32" s="1">
        <v>1696419</v>
      </c>
      <c r="F32" s="1">
        <v>2651931.4300000002</v>
      </c>
      <c r="G32" s="1">
        <v>1934535.41</v>
      </c>
      <c r="H32" s="1">
        <v>3173403</v>
      </c>
      <c r="I32" s="1">
        <f>2381123.31+105176.31+37667.84+86973.07+17013.46</f>
        <v>2627953.9899999998</v>
      </c>
      <c r="J32" s="1">
        <f>2304594.33+750002.44+99779.85+74631.25+28682.2</f>
        <v>3257690.0700000003</v>
      </c>
      <c r="K32" s="1"/>
    </row>
    <row r="33" spans="2:11" x14ac:dyDescent="0.3">
      <c r="B33" s="1" t="s">
        <v>19</v>
      </c>
      <c r="C33" s="1"/>
      <c r="D33" s="1"/>
      <c r="E33" s="1">
        <f t="shared" ref="E33:J33" si="10">E34+E35</f>
        <v>1828895.31</v>
      </c>
      <c r="F33" s="1">
        <f t="shared" si="10"/>
        <v>2000844.91</v>
      </c>
      <c r="G33" s="1">
        <f t="shared" si="10"/>
        <v>3103790.02</v>
      </c>
      <c r="H33" s="1">
        <f t="shared" si="10"/>
        <v>4095546</v>
      </c>
      <c r="I33" s="1">
        <f t="shared" si="10"/>
        <v>6277874.6100000003</v>
      </c>
      <c r="J33" s="1">
        <f t="shared" si="10"/>
        <v>7439186.0999999996</v>
      </c>
      <c r="K33" s="1"/>
    </row>
    <row r="34" spans="2:11" x14ac:dyDescent="0.3">
      <c r="B34" s="1"/>
      <c r="C34" s="1" t="s">
        <v>29</v>
      </c>
      <c r="D34" s="1"/>
      <c r="E34" s="1">
        <v>1828895.31</v>
      </c>
      <c r="F34" s="1">
        <v>2000844.91</v>
      </c>
      <c r="G34" s="1">
        <v>3103790.02</v>
      </c>
      <c r="H34" s="5">
        <v>4095546</v>
      </c>
      <c r="I34" s="1">
        <v>4386824.6100000003</v>
      </c>
      <c r="J34" s="1">
        <v>5612320.5599999996</v>
      </c>
      <c r="K34" s="1"/>
    </row>
    <row r="35" spans="2:11" x14ac:dyDescent="0.3">
      <c r="B35" s="1"/>
      <c r="C35" s="1" t="s">
        <v>31</v>
      </c>
      <c r="D35" s="1"/>
      <c r="E35" s="1">
        <v>0</v>
      </c>
      <c r="F35" s="1">
        <v>0</v>
      </c>
      <c r="G35" s="1">
        <v>0</v>
      </c>
      <c r="H35" s="1">
        <v>0</v>
      </c>
      <c r="I35" s="1">
        <v>1891050</v>
      </c>
      <c r="J35" s="1">
        <v>1826865.54</v>
      </c>
      <c r="K35" s="1"/>
    </row>
    <row r="36" spans="2:11" ht="6" customHeight="1" x14ac:dyDescent="0.3">
      <c r="H36" s="1"/>
      <c r="I36" s="1"/>
      <c r="J36" s="1"/>
      <c r="K36" s="1"/>
    </row>
    <row r="37" spans="2:11" x14ac:dyDescent="0.3">
      <c r="B37" s="1" t="s">
        <v>20</v>
      </c>
      <c r="C37" s="1"/>
      <c r="D37" s="1"/>
      <c r="E37" s="1">
        <f t="shared" ref="E37:J37" si="11">E38+E39</f>
        <v>3110605.7099999995</v>
      </c>
      <c r="F37" s="1">
        <f t="shared" si="11"/>
        <v>3400073.66</v>
      </c>
      <c r="G37" s="1">
        <f t="shared" si="11"/>
        <v>4356081.5199999996</v>
      </c>
      <c r="H37" s="1">
        <f t="shared" si="11"/>
        <v>4848790</v>
      </c>
      <c r="I37" s="1">
        <f t="shared" si="11"/>
        <v>4760922.7699999996</v>
      </c>
      <c r="J37" s="1">
        <f t="shared" si="11"/>
        <v>5298843.5600000005</v>
      </c>
      <c r="K37" s="1"/>
    </row>
    <row r="38" spans="2:11" x14ac:dyDescent="0.3">
      <c r="B38" s="1"/>
      <c r="C38" s="1" t="s">
        <v>32</v>
      </c>
      <c r="D38" s="1"/>
      <c r="E38" s="1">
        <v>2865111.34</v>
      </c>
      <c r="F38" s="1">
        <v>3203434.89</v>
      </c>
      <c r="G38" s="1">
        <v>3781783.49</v>
      </c>
      <c r="H38" s="1">
        <v>4283612</v>
      </c>
      <c r="I38" s="1">
        <v>4525000</v>
      </c>
      <c r="J38" s="1">
        <f>4918500+138067.32+224126.63</f>
        <v>5280693.95</v>
      </c>
      <c r="K38" s="1"/>
    </row>
    <row r="39" spans="2:11" x14ac:dyDescent="0.3">
      <c r="B39" s="1"/>
      <c r="C39" s="1" t="s">
        <v>33</v>
      </c>
      <c r="D39" s="1"/>
      <c r="E39" s="1">
        <f>E14</f>
        <v>245494.36999999947</v>
      </c>
      <c r="F39" s="1">
        <f>F14</f>
        <v>196638.77000000011</v>
      </c>
      <c r="G39" s="1">
        <f>G14</f>
        <v>574298.02999999945</v>
      </c>
      <c r="H39" s="1">
        <v>565178</v>
      </c>
      <c r="I39" s="1">
        <v>235922.77</v>
      </c>
      <c r="J39" s="1">
        <v>18149.61</v>
      </c>
      <c r="K39" s="1"/>
    </row>
    <row r="40" spans="2:11" x14ac:dyDescent="0.3">
      <c r="B40" s="1" t="s">
        <v>0</v>
      </c>
      <c r="C40" s="11" t="s">
        <v>21</v>
      </c>
      <c r="D40" s="1"/>
      <c r="E40" s="1">
        <f>E30+E33+E37</f>
        <v>9174073.0899999999</v>
      </c>
      <c r="F40" s="1">
        <f t="shared" ref="F40:J40" si="12">F30+F33+F37</f>
        <v>10151152.9</v>
      </c>
      <c r="G40" s="1">
        <f t="shared" si="12"/>
        <v>12222741.639999999</v>
      </c>
      <c r="H40" s="1">
        <f t="shared" si="12"/>
        <v>15283861</v>
      </c>
      <c r="I40" s="1">
        <f t="shared" si="12"/>
        <v>18822257.829999998</v>
      </c>
      <c r="J40" s="1">
        <f t="shared" si="12"/>
        <v>19447336.98</v>
      </c>
      <c r="K40" s="1"/>
    </row>
    <row r="41" spans="2:11" x14ac:dyDescent="0.3">
      <c r="D41" s="1"/>
      <c r="E41" s="1"/>
      <c r="F41" s="1"/>
      <c r="G41" s="1"/>
      <c r="H41" s="1"/>
      <c r="I41" s="1"/>
      <c r="J41" s="1"/>
      <c r="K41" s="1"/>
    </row>
    <row r="42" spans="2:11" x14ac:dyDescent="0.3">
      <c r="D42" s="1"/>
      <c r="E42" s="1"/>
      <c r="F42" s="1"/>
      <c r="G42" s="1"/>
      <c r="H42" s="1"/>
      <c r="I42" s="1"/>
      <c r="J42" s="1"/>
    </row>
    <row r="43" spans="2:11" ht="18" x14ac:dyDescent="0.35">
      <c r="B43" s="7" t="s">
        <v>34</v>
      </c>
      <c r="D43" s="2">
        <v>2011</v>
      </c>
      <c r="E43" s="2">
        <v>2012</v>
      </c>
      <c r="F43" s="2">
        <v>2013</v>
      </c>
      <c r="G43" s="2">
        <v>2014</v>
      </c>
      <c r="H43" s="2">
        <v>2015</v>
      </c>
      <c r="I43" s="3">
        <v>2016</v>
      </c>
      <c r="J43" s="3">
        <v>2017</v>
      </c>
    </row>
    <row r="44" spans="2:11" x14ac:dyDescent="0.3">
      <c r="B44" t="s">
        <v>35</v>
      </c>
      <c r="D44" s="1"/>
      <c r="E44" s="1"/>
      <c r="F44" s="1">
        <f t="shared" ref="F44:J48" si="13">F18-E18</f>
        <v>1000948.9400000004</v>
      </c>
      <c r="G44" s="1">
        <f t="shared" si="13"/>
        <v>77480.350000000559</v>
      </c>
      <c r="H44" s="1">
        <f t="shared" si="13"/>
        <v>2030441.2699999996</v>
      </c>
      <c r="I44" s="1">
        <f t="shared" si="13"/>
        <v>1435642.9199999981</v>
      </c>
      <c r="J44" s="1">
        <f t="shared" si="13"/>
        <v>-1605641.4099999983</v>
      </c>
    </row>
    <row r="45" spans="2:11" x14ac:dyDescent="0.3">
      <c r="C45" t="s">
        <v>22</v>
      </c>
      <c r="D45" s="1"/>
      <c r="E45" s="1"/>
      <c r="F45" s="1">
        <f t="shared" si="13"/>
        <v>715124.01</v>
      </c>
      <c r="G45" s="1">
        <f t="shared" si="13"/>
        <v>-890203.43</v>
      </c>
      <c r="H45" s="1">
        <f t="shared" si="13"/>
        <v>182620.5</v>
      </c>
      <c r="I45" s="1">
        <f t="shared" si="13"/>
        <v>1453922.21</v>
      </c>
      <c r="J45" s="1">
        <f t="shared" si="13"/>
        <v>-783803.44</v>
      </c>
    </row>
    <row r="46" spans="2:11" x14ac:dyDescent="0.3">
      <c r="C46" t="s">
        <v>23</v>
      </c>
      <c r="D46" s="1"/>
      <c r="E46" s="1"/>
      <c r="F46" s="1">
        <f t="shared" si="13"/>
        <v>-244838.59999999986</v>
      </c>
      <c r="G46" s="1">
        <f t="shared" si="13"/>
        <v>590953.32000000007</v>
      </c>
      <c r="H46" s="1">
        <f t="shared" si="13"/>
        <v>1110411.71</v>
      </c>
      <c r="I46" s="1">
        <f t="shared" si="13"/>
        <v>-735108.94</v>
      </c>
      <c r="J46" s="1">
        <f t="shared" si="13"/>
        <v>96720.009999999776</v>
      </c>
    </row>
    <row r="47" spans="2:11" x14ac:dyDescent="0.3">
      <c r="C47" t="s">
        <v>24</v>
      </c>
      <c r="D47" s="1"/>
      <c r="E47" s="1"/>
      <c r="F47" s="1">
        <f t="shared" si="13"/>
        <v>46178.530000000028</v>
      </c>
      <c r="G47" s="1">
        <f t="shared" si="13"/>
        <v>431777.45999999996</v>
      </c>
      <c r="H47" s="1">
        <f t="shared" si="13"/>
        <v>606390.06000000006</v>
      </c>
      <c r="I47" s="1">
        <f t="shared" si="13"/>
        <v>373648.7799999998</v>
      </c>
      <c r="J47" s="1">
        <f t="shared" si="13"/>
        <v>-486956.19999999972</v>
      </c>
    </row>
    <row r="48" spans="2:11" x14ac:dyDescent="0.3">
      <c r="C48" t="s">
        <v>25</v>
      </c>
      <c r="D48" s="1"/>
      <c r="E48" s="1"/>
      <c r="F48" s="1">
        <f t="shared" si="13"/>
        <v>484485</v>
      </c>
      <c r="G48" s="1">
        <f t="shared" si="13"/>
        <v>-55047</v>
      </c>
      <c r="H48" s="1">
        <f t="shared" si="13"/>
        <v>131019</v>
      </c>
      <c r="I48" s="1">
        <f t="shared" si="13"/>
        <v>343180.87000000011</v>
      </c>
      <c r="J48" s="1">
        <f t="shared" si="13"/>
        <v>-431601.78000000014</v>
      </c>
    </row>
    <row r="49" spans="2:10" x14ac:dyDescent="0.3">
      <c r="D49" s="1"/>
      <c r="E49" s="1"/>
      <c r="F49" s="1"/>
      <c r="G49" s="1"/>
      <c r="H49" s="1"/>
      <c r="I49" s="1"/>
      <c r="J49" s="1"/>
    </row>
    <row r="50" spans="2:10" x14ac:dyDescent="0.3">
      <c r="B50" t="s">
        <v>36</v>
      </c>
      <c r="D50" s="1"/>
      <c r="E50" s="1"/>
      <c r="F50" s="1">
        <f t="shared" ref="F50:J52" si="14">F24-E24</f>
        <v>-23869.199999999255</v>
      </c>
      <c r="G50" s="1">
        <f t="shared" si="14"/>
        <v>1994107.5899999999</v>
      </c>
      <c r="H50" s="1">
        <f t="shared" si="14"/>
        <v>1030680.6299999999</v>
      </c>
      <c r="I50" s="5">
        <f t="shared" si="14"/>
        <v>2102751.91</v>
      </c>
      <c r="J50" s="5">
        <f t="shared" si="14"/>
        <v>2230720.5500000007</v>
      </c>
    </row>
    <row r="51" spans="2:10" x14ac:dyDescent="0.3">
      <c r="C51" t="s">
        <v>26</v>
      </c>
      <c r="D51" s="1"/>
      <c r="E51" s="1"/>
      <c r="F51" s="1">
        <f t="shared" si="14"/>
        <v>494455.67000000086</v>
      </c>
      <c r="G51" s="1">
        <f t="shared" si="14"/>
        <v>2335446.92</v>
      </c>
      <c r="H51" s="1">
        <f t="shared" si="14"/>
        <v>1490888.8499999996</v>
      </c>
      <c r="I51" s="5">
        <f t="shared" si="14"/>
        <v>2201538.17</v>
      </c>
      <c r="J51" s="5">
        <f t="shared" si="14"/>
        <v>3020751.3000000007</v>
      </c>
    </row>
    <row r="52" spans="2:10" x14ac:dyDescent="0.3">
      <c r="C52" t="s">
        <v>27</v>
      </c>
      <c r="D52" s="1"/>
      <c r="E52" s="1"/>
      <c r="F52" s="1">
        <f t="shared" si="14"/>
        <v>518324.86999999988</v>
      </c>
      <c r="G52" s="1">
        <f t="shared" si="14"/>
        <v>341339.33000000007</v>
      </c>
      <c r="H52" s="1">
        <f t="shared" si="14"/>
        <v>460208.22</v>
      </c>
      <c r="I52" s="5">
        <f t="shared" si="14"/>
        <v>98786.259999999776</v>
      </c>
      <c r="J52" s="5">
        <f t="shared" si="14"/>
        <v>790030.75</v>
      </c>
    </row>
    <row r="53" spans="2:10" x14ac:dyDescent="0.3">
      <c r="D53" s="1"/>
      <c r="E53" s="1"/>
      <c r="F53" s="1"/>
      <c r="G53" s="1"/>
      <c r="H53" s="1"/>
      <c r="I53" s="5"/>
      <c r="J53" s="5"/>
    </row>
    <row r="54" spans="2:10" x14ac:dyDescent="0.3">
      <c r="B54" t="s">
        <v>0</v>
      </c>
      <c r="C54" s="11" t="s">
        <v>37</v>
      </c>
      <c r="D54" s="1"/>
      <c r="E54" s="1"/>
      <c r="F54" s="3">
        <f>F44+F50</f>
        <v>977079.74000000115</v>
      </c>
      <c r="G54" s="3">
        <f t="shared" ref="G54:J54" si="15">G44+G50</f>
        <v>2071587.9400000004</v>
      </c>
      <c r="H54" s="3">
        <f t="shared" si="15"/>
        <v>3061121.8999999994</v>
      </c>
      <c r="I54" s="12">
        <f t="shared" si="15"/>
        <v>3538394.8299999982</v>
      </c>
      <c r="J54" s="12">
        <f t="shared" si="15"/>
        <v>625079.14000000246</v>
      </c>
    </row>
    <row r="55" spans="2:10" x14ac:dyDescent="0.3">
      <c r="D55" s="1"/>
      <c r="E55" s="1"/>
      <c r="F55" s="1"/>
      <c r="G55" s="1"/>
      <c r="H55" s="1"/>
      <c r="I55" s="5"/>
      <c r="J55" s="5"/>
    </row>
    <row r="56" spans="2:10" x14ac:dyDescent="0.3">
      <c r="B56" s="1" t="s">
        <v>38</v>
      </c>
      <c r="C56" s="1"/>
      <c r="D56" s="1"/>
      <c r="E56" s="1"/>
      <c r="F56" s="1">
        <f t="shared" ref="F56:J61" si="16">F30-E30</f>
        <v>515662.25999999978</v>
      </c>
      <c r="G56" s="1">
        <f t="shared" si="16"/>
        <v>12635.769999999553</v>
      </c>
      <c r="H56" s="1">
        <f t="shared" si="16"/>
        <v>1576654.9000000004</v>
      </c>
      <c r="I56" s="5">
        <f t="shared" si="16"/>
        <v>1443935.4499999993</v>
      </c>
      <c r="J56" s="5">
        <f t="shared" si="16"/>
        <v>-1074153.129999999</v>
      </c>
    </row>
    <row r="57" spans="2:10" x14ac:dyDescent="0.3">
      <c r="B57" s="1"/>
      <c r="C57" s="1" t="s">
        <v>28</v>
      </c>
      <c r="D57" s="1"/>
      <c r="E57" s="1"/>
      <c r="F57" s="1">
        <f t="shared" si="16"/>
        <v>-439850.16999999993</v>
      </c>
      <c r="G57" s="1">
        <f t="shared" si="16"/>
        <v>730031.79</v>
      </c>
      <c r="H57" s="1">
        <f t="shared" si="16"/>
        <v>337787.31000000006</v>
      </c>
      <c r="I57" s="5">
        <f t="shared" si="16"/>
        <v>1989384.46</v>
      </c>
      <c r="J57" s="5">
        <f t="shared" si="16"/>
        <v>-1703889.21</v>
      </c>
    </row>
    <row r="58" spans="2:10" x14ac:dyDescent="0.3">
      <c r="B58" s="1"/>
      <c r="C58" s="1" t="s">
        <v>30</v>
      </c>
      <c r="D58" s="1"/>
      <c r="E58" s="1"/>
      <c r="F58" s="1">
        <f t="shared" si="16"/>
        <v>955512.43000000017</v>
      </c>
      <c r="G58" s="1">
        <f t="shared" si="16"/>
        <v>-717396.02000000025</v>
      </c>
      <c r="H58" s="1">
        <f t="shared" si="16"/>
        <v>1238867.5900000001</v>
      </c>
      <c r="I58" s="5">
        <f t="shared" si="16"/>
        <v>-545449.01000000024</v>
      </c>
      <c r="J58" s="5">
        <f t="shared" si="16"/>
        <v>629736.08000000054</v>
      </c>
    </row>
    <row r="59" spans="2:10" x14ac:dyDescent="0.3">
      <c r="B59" s="1" t="s">
        <v>39</v>
      </c>
      <c r="C59" s="1"/>
      <c r="D59" s="1"/>
      <c r="E59" s="1"/>
      <c r="F59" s="1">
        <f t="shared" si="16"/>
        <v>171949.59999999986</v>
      </c>
      <c r="G59" s="1">
        <f t="shared" si="16"/>
        <v>1102945.1100000001</v>
      </c>
      <c r="H59" s="1">
        <f t="shared" si="16"/>
        <v>991755.98</v>
      </c>
      <c r="I59" s="5">
        <f t="shared" si="16"/>
        <v>2182328.6100000003</v>
      </c>
      <c r="J59" s="5">
        <f t="shared" si="16"/>
        <v>1161311.4899999993</v>
      </c>
    </row>
    <row r="60" spans="2:10" x14ac:dyDescent="0.3">
      <c r="B60" s="1"/>
      <c r="C60" s="1" t="s">
        <v>29</v>
      </c>
      <c r="D60" s="1"/>
      <c r="E60" s="1"/>
      <c r="F60" s="1">
        <f t="shared" si="16"/>
        <v>171949.59999999986</v>
      </c>
      <c r="G60" s="1">
        <f t="shared" si="16"/>
        <v>1102945.1100000001</v>
      </c>
      <c r="H60" s="1">
        <f t="shared" si="16"/>
        <v>991755.98</v>
      </c>
      <c r="I60" s="5">
        <f t="shared" si="16"/>
        <v>291278.61000000034</v>
      </c>
      <c r="J60" s="5">
        <f t="shared" si="16"/>
        <v>1225495.9499999993</v>
      </c>
    </row>
    <row r="61" spans="2:10" x14ac:dyDescent="0.3">
      <c r="B61" s="1"/>
      <c r="C61" s="1" t="s">
        <v>31</v>
      </c>
      <c r="D61" s="1"/>
      <c r="E61" s="1"/>
      <c r="F61" s="1">
        <f t="shared" si="16"/>
        <v>0</v>
      </c>
      <c r="G61" s="1">
        <f t="shared" si="16"/>
        <v>0</v>
      </c>
      <c r="H61" s="1">
        <f t="shared" si="16"/>
        <v>0</v>
      </c>
      <c r="I61" s="5">
        <f t="shared" si="16"/>
        <v>1891050</v>
      </c>
      <c r="J61" s="5">
        <f t="shared" si="16"/>
        <v>-64184.459999999963</v>
      </c>
    </row>
    <row r="62" spans="2:10" x14ac:dyDescent="0.3">
      <c r="D62" s="1"/>
      <c r="E62" s="1"/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</row>
    <row r="63" spans="2:10" x14ac:dyDescent="0.3">
      <c r="B63" s="1" t="s">
        <v>40</v>
      </c>
      <c r="C63" s="1"/>
      <c r="D63" s="1"/>
      <c r="E63" s="1"/>
      <c r="F63" s="1">
        <f t="shared" ref="F63:J65" si="17">F37-E37</f>
        <v>289467.95000000065</v>
      </c>
      <c r="G63" s="1">
        <f t="shared" si="17"/>
        <v>956007.8599999994</v>
      </c>
      <c r="H63" s="1">
        <f t="shared" si="17"/>
        <v>492708.48000000045</v>
      </c>
      <c r="I63" s="1">
        <f t="shared" si="17"/>
        <v>-87867.230000000447</v>
      </c>
      <c r="J63" s="1">
        <f t="shared" si="17"/>
        <v>537920.79000000097</v>
      </c>
    </row>
    <row r="64" spans="2:10" x14ac:dyDescent="0.3">
      <c r="B64" s="1"/>
      <c r="C64" s="1" t="s">
        <v>32</v>
      </c>
      <c r="D64" s="1"/>
      <c r="E64" s="1"/>
      <c r="F64" s="1">
        <f t="shared" si="17"/>
        <v>338323.55000000028</v>
      </c>
      <c r="G64" s="1">
        <f t="shared" si="17"/>
        <v>578348.60000000009</v>
      </c>
      <c r="H64" s="1">
        <f t="shared" si="17"/>
        <v>501828.50999999978</v>
      </c>
      <c r="I64" s="1">
        <f t="shared" si="17"/>
        <v>241388</v>
      </c>
      <c r="J64" s="1">
        <f t="shared" si="17"/>
        <v>755693.95000000019</v>
      </c>
    </row>
    <row r="65" spans="2:10" x14ac:dyDescent="0.3">
      <c r="B65" s="1"/>
      <c r="C65" s="1" t="s">
        <v>33</v>
      </c>
      <c r="D65" s="1"/>
      <c r="E65" s="1"/>
      <c r="F65" s="1">
        <f t="shared" si="17"/>
        <v>-48855.599999999366</v>
      </c>
      <c r="G65" s="1">
        <f t="shared" si="17"/>
        <v>377659.25999999931</v>
      </c>
      <c r="H65" s="1">
        <f t="shared" si="17"/>
        <v>-9120.0299999994459</v>
      </c>
      <c r="I65" s="5">
        <f t="shared" si="17"/>
        <v>-329255.23</v>
      </c>
      <c r="J65" s="5">
        <f t="shared" si="17"/>
        <v>-217773.15999999997</v>
      </c>
    </row>
    <row r="66" spans="2:10" x14ac:dyDescent="0.3">
      <c r="B66" s="1" t="s">
        <v>0</v>
      </c>
      <c r="C66" s="11" t="s">
        <v>41</v>
      </c>
      <c r="D66" s="1"/>
      <c r="E66" s="1"/>
      <c r="F66" s="3">
        <f>F56+F59+F63</f>
        <v>977079.81000000029</v>
      </c>
      <c r="G66" s="3">
        <f t="shared" ref="G66:J66" si="18">G56+G59+G63</f>
        <v>2071588.7399999991</v>
      </c>
      <c r="H66" s="3">
        <f t="shared" si="18"/>
        <v>3061119.3600000008</v>
      </c>
      <c r="I66" s="3">
        <f t="shared" si="18"/>
        <v>3538396.8299999991</v>
      </c>
      <c r="J66" s="3">
        <f t="shared" si="18"/>
        <v>625079.1500000013</v>
      </c>
    </row>
    <row r="67" spans="2:10" x14ac:dyDescent="0.3">
      <c r="B67" s="1"/>
      <c r="C67" s="6"/>
      <c r="D67" s="1"/>
      <c r="E67" s="1"/>
      <c r="F67" s="1"/>
      <c r="G67" s="1"/>
      <c r="H67" s="1"/>
      <c r="I67" s="1"/>
      <c r="J67" s="1"/>
    </row>
    <row r="68" spans="2:10" x14ac:dyDescent="0.3">
      <c r="D68" s="1"/>
      <c r="E68" s="1"/>
      <c r="F68" s="1"/>
      <c r="G68" s="1"/>
      <c r="H68" s="1"/>
      <c r="I68" s="1"/>
      <c r="J68" s="1"/>
    </row>
    <row r="69" spans="2:10" ht="18" x14ac:dyDescent="0.35">
      <c r="B69" s="7" t="s">
        <v>132</v>
      </c>
      <c r="D69" s="2">
        <v>2011</v>
      </c>
      <c r="E69" s="2">
        <v>2012</v>
      </c>
      <c r="F69" s="2">
        <v>2013</v>
      </c>
      <c r="G69" s="2">
        <v>2014</v>
      </c>
      <c r="H69" s="2">
        <v>2015</v>
      </c>
      <c r="I69" s="3">
        <v>2016</v>
      </c>
      <c r="J69" s="3">
        <v>2017</v>
      </c>
    </row>
    <row r="70" spans="2:10" x14ac:dyDescent="0.3">
      <c r="B70" t="s">
        <v>35</v>
      </c>
      <c r="D70" s="1"/>
      <c r="E70" s="1"/>
      <c r="F70" s="1">
        <f>SUM(F71:F74)</f>
        <v>1000948.9400000002</v>
      </c>
      <c r="G70" s="1">
        <f t="shared" ref="G70:J70" si="19">SUM(G71:G74)</f>
        <v>77480.349999999977</v>
      </c>
      <c r="H70" s="1">
        <f t="shared" si="19"/>
        <v>2030441.27</v>
      </c>
      <c r="I70" s="1">
        <f t="shared" si="19"/>
        <v>1435642.92</v>
      </c>
      <c r="J70" s="1">
        <f t="shared" si="19"/>
        <v>-1605641.4100000001</v>
      </c>
    </row>
    <row r="71" spans="2:10" x14ac:dyDescent="0.3">
      <c r="C71" t="s">
        <v>22</v>
      </c>
      <c r="D71" s="1"/>
      <c r="E71" s="1"/>
      <c r="F71" s="1">
        <f t="shared" ref="F71:J74" si="20">F45</f>
        <v>715124.01</v>
      </c>
      <c r="G71" s="1">
        <f t="shared" si="20"/>
        <v>-890203.43</v>
      </c>
      <c r="H71" s="1">
        <f t="shared" si="20"/>
        <v>182620.5</v>
      </c>
      <c r="I71" s="1">
        <f t="shared" si="20"/>
        <v>1453922.21</v>
      </c>
      <c r="J71" s="1">
        <f t="shared" si="20"/>
        <v>-783803.44</v>
      </c>
    </row>
    <row r="72" spans="2:10" x14ac:dyDescent="0.3">
      <c r="C72" t="s">
        <v>23</v>
      </c>
      <c r="D72" s="1"/>
      <c r="E72" s="1"/>
      <c r="F72" s="1">
        <f t="shared" si="20"/>
        <v>-244838.59999999986</v>
      </c>
      <c r="G72" s="1">
        <f t="shared" si="20"/>
        <v>590953.32000000007</v>
      </c>
      <c r="H72" s="1">
        <f t="shared" si="20"/>
        <v>1110411.71</v>
      </c>
      <c r="I72" s="1">
        <f t="shared" si="20"/>
        <v>-735108.94</v>
      </c>
      <c r="J72" s="1">
        <f t="shared" si="20"/>
        <v>96720.009999999776</v>
      </c>
    </row>
    <row r="73" spans="2:10" x14ac:dyDescent="0.3">
      <c r="C73" t="s">
        <v>24</v>
      </c>
      <c r="D73" s="1"/>
      <c r="E73" s="1"/>
      <c r="F73" s="1">
        <f t="shared" si="20"/>
        <v>46178.530000000028</v>
      </c>
      <c r="G73" s="1">
        <f t="shared" si="20"/>
        <v>431777.45999999996</v>
      </c>
      <c r="H73" s="1">
        <f t="shared" si="20"/>
        <v>606390.06000000006</v>
      </c>
      <c r="I73" s="1">
        <f t="shared" si="20"/>
        <v>373648.7799999998</v>
      </c>
      <c r="J73" s="1">
        <f t="shared" si="20"/>
        <v>-486956.19999999972</v>
      </c>
    </row>
    <row r="74" spans="2:10" x14ac:dyDescent="0.3">
      <c r="C74" t="s">
        <v>25</v>
      </c>
      <c r="D74" s="1"/>
      <c r="E74" s="1"/>
      <c r="F74" s="1">
        <f t="shared" si="20"/>
        <v>484485</v>
      </c>
      <c r="G74" s="1">
        <f t="shared" si="20"/>
        <v>-55047</v>
      </c>
      <c r="H74" s="1">
        <f t="shared" si="20"/>
        <v>131019</v>
      </c>
      <c r="I74" s="1">
        <f t="shared" si="20"/>
        <v>343180.87000000011</v>
      </c>
      <c r="J74" s="1">
        <f t="shared" si="20"/>
        <v>-431601.78000000014</v>
      </c>
    </row>
    <row r="75" spans="2:10" x14ac:dyDescent="0.3">
      <c r="D75" s="1"/>
      <c r="E75" s="1"/>
      <c r="F75" s="1" t="s">
        <v>0</v>
      </c>
      <c r="G75" s="1" t="s">
        <v>0</v>
      </c>
      <c r="H75" s="1" t="s">
        <v>0</v>
      </c>
      <c r="I75" s="1" t="s">
        <v>0</v>
      </c>
      <c r="J75" s="1" t="s">
        <v>0</v>
      </c>
    </row>
    <row r="76" spans="2:10" x14ac:dyDescent="0.3">
      <c r="B76" s="19" t="s">
        <v>36</v>
      </c>
      <c r="C76" s="19"/>
      <c r="D76" s="5"/>
      <c r="E76" s="5"/>
      <c r="F76" s="5">
        <f>F50</f>
        <v>-23869.199999999255</v>
      </c>
      <c r="G76" s="5">
        <f t="shared" ref="G76:J76" si="21">G50</f>
        <v>1994107.5899999999</v>
      </c>
      <c r="H76" s="5">
        <f t="shared" si="21"/>
        <v>1030680.6299999999</v>
      </c>
      <c r="I76" s="5">
        <f t="shared" si="21"/>
        <v>2102751.91</v>
      </c>
      <c r="J76" s="5">
        <f t="shared" si="21"/>
        <v>2230720.5500000007</v>
      </c>
    </row>
    <row r="77" spans="2:10" x14ac:dyDescent="0.3">
      <c r="B77" s="8" t="s">
        <v>10</v>
      </c>
      <c r="C77" s="8"/>
      <c r="D77" s="8"/>
      <c r="E77" s="8"/>
      <c r="F77" s="8">
        <f>F52</f>
        <v>518324.86999999988</v>
      </c>
      <c r="G77" s="8">
        <f t="shared" ref="G77:J77" si="22">G52</f>
        <v>341339.33000000007</v>
      </c>
      <c r="H77" s="8">
        <f t="shared" si="22"/>
        <v>460208.22</v>
      </c>
      <c r="I77" s="8">
        <f t="shared" si="22"/>
        <v>98786.259999999776</v>
      </c>
      <c r="J77" s="8">
        <f t="shared" si="22"/>
        <v>790030.75</v>
      </c>
    </row>
    <row r="78" spans="2:10" ht="6" customHeight="1" x14ac:dyDescent="0.3">
      <c r="D78" s="1"/>
      <c r="E78" s="1"/>
      <c r="F78" s="1" t="s">
        <v>0</v>
      </c>
      <c r="G78" s="1" t="s">
        <v>0</v>
      </c>
      <c r="H78" s="1" t="s">
        <v>0</v>
      </c>
      <c r="I78" s="1" t="s">
        <v>0</v>
      </c>
      <c r="J78" s="1" t="s">
        <v>0</v>
      </c>
    </row>
    <row r="79" spans="2:10" x14ac:dyDescent="0.3">
      <c r="B79" t="s">
        <v>0</v>
      </c>
      <c r="C79" s="11" t="s">
        <v>43</v>
      </c>
      <c r="D79" s="1"/>
      <c r="E79" s="1"/>
      <c r="F79" s="3">
        <f>F70+F76+F77</f>
        <v>1495404.6100000008</v>
      </c>
      <c r="G79" s="3">
        <f t="shared" ref="G79:J79" si="23">G70+G76+G77</f>
        <v>2412927.27</v>
      </c>
      <c r="H79" s="3">
        <f t="shared" si="23"/>
        <v>3521330.12</v>
      </c>
      <c r="I79" s="3">
        <f t="shared" si="23"/>
        <v>3637181.09</v>
      </c>
      <c r="J79" s="3">
        <f t="shared" si="23"/>
        <v>1415109.8900000006</v>
      </c>
    </row>
    <row r="80" spans="2:10" ht="6.75" customHeight="1" x14ac:dyDescent="0.3">
      <c r="D80" s="1"/>
      <c r="E80" s="1"/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</row>
    <row r="81" spans="2:10" x14ac:dyDescent="0.3">
      <c r="B81" s="1" t="s">
        <v>38</v>
      </c>
      <c r="C81" s="1"/>
      <c r="D81" s="1"/>
      <c r="E81" s="1"/>
      <c r="F81" s="1">
        <f t="shared" ref="F81:J90" si="24">F56</f>
        <v>515662.25999999978</v>
      </c>
      <c r="G81" s="1">
        <f t="shared" si="24"/>
        <v>12635.769999999553</v>
      </c>
      <c r="H81" s="1">
        <f t="shared" si="24"/>
        <v>1576654.9000000004</v>
      </c>
      <c r="I81" s="1">
        <f t="shared" si="24"/>
        <v>1443935.4499999993</v>
      </c>
      <c r="J81" s="1">
        <f t="shared" si="24"/>
        <v>-1074153.129999999</v>
      </c>
    </row>
    <row r="82" spans="2:10" x14ac:dyDescent="0.3">
      <c r="B82" s="1"/>
      <c r="C82" s="1" t="s">
        <v>28</v>
      </c>
      <c r="D82" s="1"/>
      <c r="E82" s="1"/>
      <c r="F82" s="1">
        <f t="shared" si="24"/>
        <v>-439850.16999999993</v>
      </c>
      <c r="G82" s="1">
        <f t="shared" si="24"/>
        <v>730031.79</v>
      </c>
      <c r="H82" s="1">
        <f t="shared" si="24"/>
        <v>337787.31000000006</v>
      </c>
      <c r="I82" s="1">
        <f t="shared" si="24"/>
        <v>1989384.46</v>
      </c>
      <c r="J82" s="1">
        <f t="shared" si="24"/>
        <v>-1703889.21</v>
      </c>
    </row>
    <row r="83" spans="2:10" x14ac:dyDescent="0.3">
      <c r="B83" s="1"/>
      <c r="C83" s="1" t="s">
        <v>30</v>
      </c>
      <c r="D83" s="1"/>
      <c r="E83" s="1"/>
      <c r="F83" s="1">
        <f t="shared" si="24"/>
        <v>955512.43000000017</v>
      </c>
      <c r="G83" s="1">
        <f t="shared" si="24"/>
        <v>-717396.02000000025</v>
      </c>
      <c r="H83" s="1">
        <f t="shared" si="24"/>
        <v>1238867.5900000001</v>
      </c>
      <c r="I83" s="1">
        <f t="shared" si="24"/>
        <v>-545449.01000000024</v>
      </c>
      <c r="J83" s="1">
        <f t="shared" si="24"/>
        <v>629736.08000000054</v>
      </c>
    </row>
    <row r="84" spans="2:10" x14ac:dyDescent="0.3">
      <c r="B84" s="1" t="s">
        <v>39</v>
      </c>
      <c r="C84" s="1"/>
      <c r="D84" s="1"/>
      <c r="E84" s="1"/>
      <c r="F84" s="5">
        <f t="shared" si="24"/>
        <v>171949.59999999986</v>
      </c>
      <c r="G84" s="1">
        <f t="shared" si="24"/>
        <v>1102945.1100000001</v>
      </c>
      <c r="H84" s="1">
        <f t="shared" si="24"/>
        <v>991755.98</v>
      </c>
      <c r="I84" s="1">
        <f t="shared" si="24"/>
        <v>2182328.6100000003</v>
      </c>
      <c r="J84" s="1">
        <f t="shared" si="24"/>
        <v>1161311.4899999993</v>
      </c>
    </row>
    <row r="85" spans="2:10" x14ac:dyDescent="0.3">
      <c r="B85" s="1"/>
      <c r="C85" s="1" t="s">
        <v>29</v>
      </c>
      <c r="D85" s="1"/>
      <c r="E85" s="1"/>
      <c r="F85" s="5">
        <f t="shared" si="24"/>
        <v>171949.59999999986</v>
      </c>
      <c r="G85" s="1">
        <f t="shared" si="24"/>
        <v>1102945.1100000001</v>
      </c>
      <c r="H85" s="1">
        <f t="shared" si="24"/>
        <v>991755.98</v>
      </c>
      <c r="I85" s="1">
        <f t="shared" si="24"/>
        <v>291278.61000000034</v>
      </c>
      <c r="J85" s="1">
        <f t="shared" si="24"/>
        <v>1225495.9499999993</v>
      </c>
    </row>
    <row r="86" spans="2:10" x14ac:dyDescent="0.3">
      <c r="B86" s="1"/>
      <c r="C86" s="1" t="s">
        <v>31</v>
      </c>
      <c r="D86" s="1"/>
      <c r="E86" s="1"/>
      <c r="F86" s="5">
        <f t="shared" si="24"/>
        <v>0</v>
      </c>
      <c r="G86" s="1">
        <f t="shared" si="24"/>
        <v>0</v>
      </c>
      <c r="H86" s="1">
        <f t="shared" si="24"/>
        <v>0</v>
      </c>
      <c r="I86" s="1">
        <f t="shared" si="24"/>
        <v>1891050</v>
      </c>
      <c r="J86" s="1">
        <f t="shared" si="24"/>
        <v>-64184.459999999963</v>
      </c>
    </row>
    <row r="87" spans="2:10" x14ac:dyDescent="0.3">
      <c r="D87" s="1"/>
      <c r="E87" s="1"/>
      <c r="F87" s="1" t="str">
        <f t="shared" si="24"/>
        <v xml:space="preserve"> </v>
      </c>
      <c r="G87" s="1" t="str">
        <f t="shared" si="24"/>
        <v xml:space="preserve"> </v>
      </c>
      <c r="H87" s="1" t="str">
        <f t="shared" si="24"/>
        <v xml:space="preserve"> </v>
      </c>
      <c r="I87" s="1" t="str">
        <f t="shared" si="24"/>
        <v xml:space="preserve"> </v>
      </c>
      <c r="J87" s="1" t="str">
        <f t="shared" si="24"/>
        <v xml:space="preserve"> </v>
      </c>
    </row>
    <row r="88" spans="2:10" x14ac:dyDescent="0.3">
      <c r="B88" s="1" t="s">
        <v>40</v>
      </c>
      <c r="C88" s="1"/>
      <c r="D88" s="1"/>
      <c r="E88" s="1"/>
      <c r="F88" s="5">
        <f t="shared" si="24"/>
        <v>289467.95000000065</v>
      </c>
      <c r="G88" s="1">
        <f t="shared" si="24"/>
        <v>956007.8599999994</v>
      </c>
      <c r="H88" s="1">
        <f t="shared" si="24"/>
        <v>492708.48000000045</v>
      </c>
      <c r="I88" s="1">
        <f t="shared" si="24"/>
        <v>-87867.230000000447</v>
      </c>
      <c r="J88" s="1">
        <f t="shared" si="24"/>
        <v>537920.79000000097</v>
      </c>
    </row>
    <row r="89" spans="2:10" x14ac:dyDescent="0.3">
      <c r="B89" s="1"/>
      <c r="C89" s="1" t="s">
        <v>32</v>
      </c>
      <c r="D89" s="1"/>
      <c r="E89" s="1"/>
      <c r="F89" s="5">
        <f t="shared" si="24"/>
        <v>338323.55000000028</v>
      </c>
      <c r="G89" s="1">
        <f t="shared" si="24"/>
        <v>578348.60000000009</v>
      </c>
      <c r="H89" s="1">
        <f t="shared" si="24"/>
        <v>501828.50999999978</v>
      </c>
      <c r="I89" s="1">
        <f t="shared" si="24"/>
        <v>241388</v>
      </c>
      <c r="J89" s="1">
        <f t="shared" si="24"/>
        <v>755693.95000000019</v>
      </c>
    </row>
    <row r="90" spans="2:10" x14ac:dyDescent="0.3">
      <c r="B90" s="1"/>
      <c r="C90" s="1" t="s">
        <v>33</v>
      </c>
      <c r="D90" s="1"/>
      <c r="E90" s="1"/>
      <c r="F90" s="5">
        <f t="shared" si="24"/>
        <v>-48855.599999999366</v>
      </c>
      <c r="G90" s="1">
        <f t="shared" si="24"/>
        <v>377659.25999999931</v>
      </c>
      <c r="H90" s="1">
        <f t="shared" si="24"/>
        <v>-9120.0299999994459</v>
      </c>
      <c r="I90" s="1">
        <f t="shared" si="24"/>
        <v>-329255.23</v>
      </c>
      <c r="J90" s="1">
        <f t="shared" si="24"/>
        <v>-217773.15999999997</v>
      </c>
    </row>
    <row r="91" spans="2:10" ht="6.75" customHeight="1" x14ac:dyDescent="0.3">
      <c r="B91" s="1"/>
      <c r="C91" s="1"/>
      <c r="D91" s="1"/>
      <c r="E91" s="1"/>
      <c r="F91" s="5"/>
      <c r="G91" s="1"/>
      <c r="H91" s="1"/>
      <c r="I91" s="1"/>
      <c r="J91" s="1"/>
    </row>
    <row r="92" spans="2:10" x14ac:dyDescent="0.3">
      <c r="B92" s="8" t="s">
        <v>10</v>
      </c>
      <c r="C92" s="8"/>
      <c r="D92" s="8"/>
      <c r="E92" s="8"/>
      <c r="F92" s="8">
        <f>F52</f>
        <v>518324.86999999988</v>
      </c>
      <c r="G92" s="8">
        <f t="shared" ref="G92:J92" si="25">G52</f>
        <v>341339.33000000007</v>
      </c>
      <c r="H92" s="8">
        <f t="shared" si="25"/>
        <v>460208.22</v>
      </c>
      <c r="I92" s="8">
        <f t="shared" si="25"/>
        <v>98786.259999999776</v>
      </c>
      <c r="J92" s="8">
        <f t="shared" si="25"/>
        <v>790030.75</v>
      </c>
    </row>
    <row r="93" spans="2:10" x14ac:dyDescent="0.3">
      <c r="B93" s="1"/>
      <c r="C93" s="1"/>
      <c r="D93" s="1"/>
      <c r="E93" s="1"/>
      <c r="F93" s="1"/>
      <c r="G93" s="1"/>
      <c r="H93" s="1"/>
      <c r="I93" s="1"/>
      <c r="J93" s="1"/>
    </row>
    <row r="94" spans="2:10" x14ac:dyDescent="0.3">
      <c r="B94" s="1" t="s">
        <v>0</v>
      </c>
      <c r="C94" s="11" t="s">
        <v>42</v>
      </c>
      <c r="D94" s="1"/>
      <c r="E94" s="1"/>
      <c r="F94" s="3">
        <f>F81+F84+F88+F92</f>
        <v>1495404.6800000002</v>
      </c>
      <c r="G94" s="3">
        <f t="shared" ref="G94:J94" si="26">G81+G84+G88+G92</f>
        <v>2412928.0699999994</v>
      </c>
      <c r="H94" s="3">
        <f t="shared" si="26"/>
        <v>3521327.580000001</v>
      </c>
      <c r="I94" s="3">
        <f t="shared" si="26"/>
        <v>3637183.0899999989</v>
      </c>
      <c r="J94" s="3">
        <f t="shared" si="26"/>
        <v>1415109.9000000013</v>
      </c>
    </row>
    <row r="95" spans="2:10" x14ac:dyDescent="0.3">
      <c r="D95" s="1"/>
      <c r="E95" s="1"/>
      <c r="F95" s="1"/>
      <c r="G95" s="1"/>
      <c r="H95" s="1"/>
      <c r="I95" s="1"/>
      <c r="J95" s="1"/>
    </row>
    <row r="96" spans="2:10" x14ac:dyDescent="0.3">
      <c r="D96" s="1"/>
      <c r="E96" s="1"/>
      <c r="F96" s="1"/>
      <c r="G96" s="1"/>
      <c r="H96" s="1"/>
      <c r="I96" s="1"/>
      <c r="J96" s="1"/>
    </row>
    <row r="97" spans="2:11" x14ac:dyDescent="0.3">
      <c r="D97" s="1"/>
      <c r="E97" s="1"/>
      <c r="F97" s="1"/>
      <c r="G97" s="1"/>
      <c r="H97" s="1"/>
      <c r="I97" s="1"/>
      <c r="J97" s="1"/>
    </row>
    <row r="98" spans="2:11" ht="18" x14ac:dyDescent="0.35">
      <c r="B98" s="7" t="s">
        <v>133</v>
      </c>
      <c r="D98" s="2">
        <v>2011</v>
      </c>
      <c r="E98" s="2">
        <v>2012</v>
      </c>
      <c r="F98" s="2">
        <v>2013</v>
      </c>
      <c r="G98" s="2">
        <v>2014</v>
      </c>
      <c r="H98" s="2">
        <v>2015</v>
      </c>
      <c r="I98" s="3">
        <v>2016</v>
      </c>
      <c r="J98" s="3">
        <v>2017</v>
      </c>
    </row>
    <row r="99" spans="2:11" x14ac:dyDescent="0.3">
      <c r="B99" t="s">
        <v>35</v>
      </c>
      <c r="D99" s="1"/>
      <c r="E99" s="1"/>
      <c r="F99" s="1">
        <f>SUM(F100:F103)</f>
        <v>1000948.9400000002</v>
      </c>
      <c r="G99" s="1">
        <f t="shared" ref="G99:J99" si="27">SUM(G100:G103)</f>
        <v>77480.349999999977</v>
      </c>
      <c r="H99" s="1">
        <f t="shared" si="27"/>
        <v>2030441.27</v>
      </c>
      <c r="I99" s="1">
        <f t="shared" si="27"/>
        <v>1435642.92</v>
      </c>
      <c r="J99" s="1">
        <f t="shared" si="27"/>
        <v>-1605641.4100000001</v>
      </c>
    </row>
    <row r="100" spans="2:11" x14ac:dyDescent="0.3">
      <c r="C100" t="s">
        <v>22</v>
      </c>
      <c r="D100" s="1"/>
      <c r="E100" s="1"/>
      <c r="F100" s="1">
        <f>F71</f>
        <v>715124.01</v>
      </c>
      <c r="G100" s="1">
        <f t="shared" ref="G100:J100" si="28">G71</f>
        <v>-890203.43</v>
      </c>
      <c r="H100" s="1">
        <f t="shared" si="28"/>
        <v>182620.5</v>
      </c>
      <c r="I100" s="1">
        <f t="shared" si="28"/>
        <v>1453922.21</v>
      </c>
      <c r="J100" s="1">
        <f t="shared" si="28"/>
        <v>-783803.44</v>
      </c>
    </row>
    <row r="101" spans="2:11" x14ac:dyDescent="0.3">
      <c r="C101" t="s">
        <v>23</v>
      </c>
      <c r="D101" s="1"/>
      <c r="E101" s="1"/>
      <c r="F101" s="1">
        <f t="shared" ref="F101:J101" si="29">F72</f>
        <v>-244838.59999999986</v>
      </c>
      <c r="G101" s="1">
        <f t="shared" si="29"/>
        <v>590953.32000000007</v>
      </c>
      <c r="H101" s="1">
        <f t="shared" si="29"/>
        <v>1110411.71</v>
      </c>
      <c r="I101" s="1">
        <f t="shared" si="29"/>
        <v>-735108.94</v>
      </c>
      <c r="J101" s="1">
        <f t="shared" si="29"/>
        <v>96720.009999999776</v>
      </c>
    </row>
    <row r="102" spans="2:11" x14ac:dyDescent="0.3">
      <c r="C102" t="s">
        <v>24</v>
      </c>
      <c r="D102" s="1"/>
      <c r="E102" s="1"/>
      <c r="F102" s="1">
        <f t="shared" ref="F102:J102" si="30">F73</f>
        <v>46178.530000000028</v>
      </c>
      <c r="G102" s="1">
        <f t="shared" si="30"/>
        <v>431777.45999999996</v>
      </c>
      <c r="H102" s="1">
        <f t="shared" si="30"/>
        <v>606390.06000000006</v>
      </c>
      <c r="I102" s="1">
        <f t="shared" si="30"/>
        <v>373648.7799999998</v>
      </c>
      <c r="J102" s="1">
        <f t="shared" si="30"/>
        <v>-486956.19999999972</v>
      </c>
    </row>
    <row r="103" spans="2:11" x14ac:dyDescent="0.3">
      <c r="C103" t="s">
        <v>25</v>
      </c>
      <c r="D103" s="1"/>
      <c r="E103" s="1"/>
      <c r="F103" s="1">
        <f t="shared" ref="F103:J103" si="31">F74</f>
        <v>484485</v>
      </c>
      <c r="G103" s="1">
        <f t="shared" si="31"/>
        <v>-55047</v>
      </c>
      <c r="H103" s="1">
        <f t="shared" si="31"/>
        <v>131019</v>
      </c>
      <c r="I103" s="1">
        <f t="shared" si="31"/>
        <v>343180.87000000011</v>
      </c>
      <c r="J103" s="1">
        <f t="shared" si="31"/>
        <v>-431601.78000000014</v>
      </c>
    </row>
    <row r="104" spans="2:11" x14ac:dyDescent="0.3">
      <c r="D104" s="1"/>
      <c r="E104" s="1"/>
      <c r="F104" s="1"/>
      <c r="G104" s="1"/>
      <c r="H104" s="1"/>
      <c r="I104" s="1"/>
      <c r="J104" s="1"/>
    </row>
    <row r="105" spans="2:11" x14ac:dyDescent="0.3">
      <c r="B105" s="19" t="s">
        <v>129</v>
      </c>
      <c r="C105" s="19"/>
      <c r="D105" s="5"/>
      <c r="E105" s="5"/>
      <c r="F105" s="5">
        <f>F76+F77</f>
        <v>494455.67000000062</v>
      </c>
      <c r="G105" s="5">
        <f t="shared" ref="G105:J105" si="32">G76+G77</f>
        <v>2335446.92</v>
      </c>
      <c r="H105" s="5">
        <f t="shared" si="32"/>
        <v>1490888.8499999999</v>
      </c>
      <c r="I105" s="5">
        <f t="shared" si="32"/>
        <v>2201538.17</v>
      </c>
      <c r="J105" s="5">
        <f t="shared" si="32"/>
        <v>3020751.3000000007</v>
      </c>
    </row>
    <row r="106" spans="2:11" x14ac:dyDescent="0.3">
      <c r="D106" s="1"/>
      <c r="E106" s="1"/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</row>
    <row r="107" spans="2:11" x14ac:dyDescent="0.3">
      <c r="B107" t="s">
        <v>0</v>
      </c>
      <c r="C107" s="11" t="s">
        <v>43</v>
      </c>
      <c r="D107" s="1"/>
      <c r="E107" s="1"/>
      <c r="F107" s="3">
        <f>F99+F105</f>
        <v>1495404.6100000008</v>
      </c>
      <c r="G107" s="3">
        <f t="shared" ref="G107:J107" si="33">G99+G105</f>
        <v>2412927.27</v>
      </c>
      <c r="H107" s="3">
        <f t="shared" si="33"/>
        <v>3521330.12</v>
      </c>
      <c r="I107" s="3">
        <f t="shared" si="33"/>
        <v>3637181.09</v>
      </c>
      <c r="J107" s="3">
        <f t="shared" si="33"/>
        <v>1415109.8900000006</v>
      </c>
    </row>
    <row r="108" spans="2:11" x14ac:dyDescent="0.3">
      <c r="D108" s="1"/>
      <c r="E108" s="1"/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</row>
    <row r="109" spans="2:11" x14ac:dyDescent="0.3">
      <c r="B109" s="1" t="s">
        <v>38</v>
      </c>
      <c r="C109" s="1"/>
      <c r="D109" s="1"/>
      <c r="E109" s="1"/>
      <c r="F109" s="1">
        <f>SUM(F110:F111)</f>
        <v>515662.26000000024</v>
      </c>
      <c r="G109" s="1">
        <f t="shared" ref="G109:J109" si="34">SUM(G110:G111)</f>
        <v>12635.769999999786</v>
      </c>
      <c r="H109" s="1">
        <f t="shared" si="34"/>
        <v>1576654.9000000001</v>
      </c>
      <c r="I109" s="1">
        <f t="shared" si="34"/>
        <v>1443935.4499999997</v>
      </c>
      <c r="J109" s="1">
        <f t="shared" si="34"/>
        <v>-1074153.1299999994</v>
      </c>
      <c r="K109" s="1"/>
    </row>
    <row r="110" spans="2:11" x14ac:dyDescent="0.3">
      <c r="B110" s="1"/>
      <c r="C110" s="1" t="s">
        <v>28</v>
      </c>
      <c r="D110" s="1"/>
      <c r="E110" s="1"/>
      <c r="F110" s="1">
        <f>F82</f>
        <v>-439850.16999999993</v>
      </c>
      <c r="G110" s="1">
        <f t="shared" ref="G110:J110" si="35">G82</f>
        <v>730031.79</v>
      </c>
      <c r="H110" s="1">
        <f t="shared" si="35"/>
        <v>337787.31000000006</v>
      </c>
      <c r="I110" s="1">
        <f t="shared" si="35"/>
        <v>1989384.46</v>
      </c>
      <c r="J110" s="1">
        <f t="shared" si="35"/>
        <v>-1703889.21</v>
      </c>
      <c r="K110" s="1"/>
    </row>
    <row r="111" spans="2:11" x14ac:dyDescent="0.3">
      <c r="B111" s="1"/>
      <c r="C111" s="1" t="s">
        <v>30</v>
      </c>
      <c r="D111" s="1"/>
      <c r="E111" s="1"/>
      <c r="F111" s="1">
        <f t="shared" ref="F111:J111" si="36">F83</f>
        <v>955512.43000000017</v>
      </c>
      <c r="G111" s="1">
        <f t="shared" si="36"/>
        <v>-717396.02000000025</v>
      </c>
      <c r="H111" s="1">
        <f t="shared" si="36"/>
        <v>1238867.5900000001</v>
      </c>
      <c r="I111" s="1">
        <f t="shared" si="36"/>
        <v>-545449.01000000024</v>
      </c>
      <c r="J111" s="1">
        <f t="shared" si="36"/>
        <v>629736.08000000054</v>
      </c>
      <c r="K111" s="1"/>
    </row>
    <row r="112" spans="2:11" x14ac:dyDescent="0.3">
      <c r="B112" s="1" t="s">
        <v>39</v>
      </c>
      <c r="C112" s="1"/>
      <c r="D112" s="1"/>
      <c r="E112" s="1"/>
      <c r="F112" s="1">
        <f t="shared" ref="F112:J112" si="37">SUM(F113:F114)</f>
        <v>171949.59999999986</v>
      </c>
      <c r="G112" s="1">
        <f t="shared" si="37"/>
        <v>1102945.1100000001</v>
      </c>
      <c r="H112" s="1">
        <f t="shared" si="37"/>
        <v>991755.98</v>
      </c>
      <c r="I112" s="1">
        <f t="shared" si="37"/>
        <v>2182328.6100000003</v>
      </c>
      <c r="J112" s="1">
        <f t="shared" si="37"/>
        <v>1161311.4899999993</v>
      </c>
      <c r="K112" s="1"/>
    </row>
    <row r="113" spans="2:11" x14ac:dyDescent="0.3">
      <c r="B113" s="1"/>
      <c r="C113" s="1" t="s">
        <v>29</v>
      </c>
      <c r="D113" s="1"/>
      <c r="E113" s="1"/>
      <c r="F113" s="1">
        <f t="shared" ref="F113:J113" si="38">F85</f>
        <v>171949.59999999986</v>
      </c>
      <c r="G113" s="1">
        <f t="shared" si="38"/>
        <v>1102945.1100000001</v>
      </c>
      <c r="H113" s="1">
        <f t="shared" si="38"/>
        <v>991755.98</v>
      </c>
      <c r="I113" s="1">
        <f t="shared" si="38"/>
        <v>291278.61000000034</v>
      </c>
      <c r="J113" s="1">
        <f t="shared" si="38"/>
        <v>1225495.9499999993</v>
      </c>
      <c r="K113" s="1"/>
    </row>
    <row r="114" spans="2:11" x14ac:dyDescent="0.3">
      <c r="B114" s="1"/>
      <c r="C114" s="1" t="s">
        <v>31</v>
      </c>
      <c r="D114" s="1"/>
      <c r="E114" s="1"/>
      <c r="F114" s="1">
        <f t="shared" ref="F114:J114" si="39">F86</f>
        <v>0</v>
      </c>
      <c r="G114" s="1">
        <f t="shared" si="39"/>
        <v>0</v>
      </c>
      <c r="H114" s="1">
        <f t="shared" si="39"/>
        <v>0</v>
      </c>
      <c r="I114" s="1">
        <f t="shared" si="39"/>
        <v>1891050</v>
      </c>
      <c r="J114" s="1">
        <f t="shared" si="39"/>
        <v>-64184.459999999963</v>
      </c>
      <c r="K114" s="1"/>
    </row>
    <row r="115" spans="2:11" x14ac:dyDescent="0.3">
      <c r="D115" s="1"/>
      <c r="E115" s="1"/>
      <c r="F115" s="1"/>
      <c r="G115" s="1"/>
      <c r="H115" s="1"/>
      <c r="I115" s="1"/>
      <c r="J115" s="1"/>
      <c r="K115" s="1"/>
    </row>
    <row r="116" spans="2:11" x14ac:dyDescent="0.3">
      <c r="B116" s="1" t="s">
        <v>40</v>
      </c>
      <c r="C116" s="1"/>
      <c r="D116" s="1"/>
      <c r="E116" s="1"/>
      <c r="F116" s="1">
        <f t="shared" ref="F116:J116" si="40">SUM(F117:F118)</f>
        <v>289467.95000000088</v>
      </c>
      <c r="G116" s="1">
        <f t="shared" si="40"/>
        <v>956007.8599999994</v>
      </c>
      <c r="H116" s="1">
        <f t="shared" si="40"/>
        <v>492708.48000000033</v>
      </c>
      <c r="I116" s="1">
        <f t="shared" si="40"/>
        <v>-87867.229999999981</v>
      </c>
      <c r="J116" s="1">
        <f t="shared" si="40"/>
        <v>537920.79000000027</v>
      </c>
      <c r="K116" s="1"/>
    </row>
    <row r="117" spans="2:11" x14ac:dyDescent="0.3">
      <c r="B117" s="1"/>
      <c r="C117" s="1" t="s">
        <v>32</v>
      </c>
      <c r="D117" s="1"/>
      <c r="E117" s="1"/>
      <c r="F117" s="1">
        <f t="shared" ref="F117:J117" si="41">F89</f>
        <v>338323.55000000028</v>
      </c>
      <c r="G117" s="1">
        <f t="shared" si="41"/>
        <v>578348.60000000009</v>
      </c>
      <c r="H117" s="1">
        <f t="shared" si="41"/>
        <v>501828.50999999978</v>
      </c>
      <c r="I117" s="1">
        <f t="shared" si="41"/>
        <v>241388</v>
      </c>
      <c r="J117" s="1">
        <f t="shared" si="41"/>
        <v>755693.95000000019</v>
      </c>
      <c r="K117" s="1"/>
    </row>
    <row r="118" spans="2:11" x14ac:dyDescent="0.3">
      <c r="B118" s="1"/>
      <c r="C118" s="1" t="s">
        <v>33</v>
      </c>
      <c r="D118" s="1"/>
      <c r="E118" s="1"/>
      <c r="F118" s="1">
        <f t="shared" ref="F118:J118" si="42">F90</f>
        <v>-48855.599999999366</v>
      </c>
      <c r="G118" s="1">
        <f t="shared" si="42"/>
        <v>377659.25999999931</v>
      </c>
      <c r="H118" s="1">
        <f t="shared" si="42"/>
        <v>-9120.0299999994459</v>
      </c>
      <c r="I118" s="1">
        <f t="shared" si="42"/>
        <v>-329255.23</v>
      </c>
      <c r="J118" s="1">
        <f t="shared" si="42"/>
        <v>-217773.15999999997</v>
      </c>
      <c r="K118" s="1"/>
    </row>
    <row r="119" spans="2:11" x14ac:dyDescent="0.3">
      <c r="B119" s="1"/>
      <c r="C119" s="1"/>
      <c r="D119" s="1"/>
      <c r="E119" s="1"/>
      <c r="F119" s="5"/>
      <c r="G119" s="1"/>
      <c r="H119" s="1"/>
      <c r="I119" s="1"/>
      <c r="J119" s="1"/>
      <c r="K119" s="1"/>
    </row>
    <row r="120" spans="2:11" x14ac:dyDescent="0.3">
      <c r="B120" s="8" t="s">
        <v>10</v>
      </c>
      <c r="C120" s="8"/>
      <c r="D120" s="8"/>
      <c r="E120" s="8"/>
      <c r="F120" s="8">
        <f>F92</f>
        <v>518324.86999999988</v>
      </c>
      <c r="G120" s="8">
        <f t="shared" ref="G120:J120" si="43">G92</f>
        <v>341339.33000000007</v>
      </c>
      <c r="H120" s="8">
        <f t="shared" si="43"/>
        <v>460208.22</v>
      </c>
      <c r="I120" s="8">
        <f t="shared" si="43"/>
        <v>98786.259999999776</v>
      </c>
      <c r="J120" s="8">
        <f t="shared" si="43"/>
        <v>790030.75</v>
      </c>
      <c r="K120" s="1"/>
    </row>
    <row r="121" spans="2:11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3">
      <c r="B122" s="1" t="s">
        <v>0</v>
      </c>
      <c r="C122" s="11" t="s">
        <v>42</v>
      </c>
      <c r="D122" s="1"/>
      <c r="E122" s="1"/>
      <c r="F122" s="3">
        <f>F109+F112+F116+F120</f>
        <v>1495404.6800000009</v>
      </c>
      <c r="G122" s="3">
        <f t="shared" ref="G122:J122" si="44">G109+G112+G116+G120</f>
        <v>2412928.0699999994</v>
      </c>
      <c r="H122" s="3">
        <f t="shared" si="44"/>
        <v>3521327.58</v>
      </c>
      <c r="I122" s="3">
        <f t="shared" si="44"/>
        <v>3637183.09</v>
      </c>
      <c r="J122" s="3">
        <f t="shared" si="44"/>
        <v>1415109.9000000001</v>
      </c>
      <c r="K122" s="1"/>
    </row>
    <row r="123" spans="2:11" x14ac:dyDescent="0.3">
      <c r="D123" s="1"/>
      <c r="E123" s="1"/>
      <c r="F123" s="1"/>
      <c r="G123" s="1"/>
      <c r="H123" s="1"/>
      <c r="I123" s="1"/>
      <c r="J123" s="1"/>
    </row>
    <row r="124" spans="2:11" x14ac:dyDescent="0.3">
      <c r="D124" s="1"/>
      <c r="E124" s="1"/>
      <c r="F124" s="1"/>
      <c r="G124" s="1"/>
      <c r="H124" s="1"/>
      <c r="I124" s="1"/>
      <c r="J124" s="1"/>
    </row>
    <row r="125" spans="2:11" x14ac:dyDescent="0.3">
      <c r="D125" s="1"/>
      <c r="E125" s="1"/>
      <c r="F125" s="1"/>
      <c r="G125" s="1"/>
      <c r="H125" s="1"/>
      <c r="I125" s="1"/>
      <c r="J125" s="1"/>
    </row>
    <row r="126" spans="2:11" x14ac:dyDescent="0.3">
      <c r="D126" s="1"/>
      <c r="E126" s="1"/>
      <c r="F126" s="1"/>
      <c r="G126" s="1"/>
      <c r="H126" s="1"/>
      <c r="I126" s="1"/>
      <c r="J126" s="1"/>
    </row>
    <row r="127" spans="2:11" x14ac:dyDescent="0.3">
      <c r="D127" s="1"/>
      <c r="E127" s="1"/>
      <c r="F127" s="1"/>
      <c r="G127" s="1"/>
      <c r="H127" s="1"/>
      <c r="I127" s="1"/>
      <c r="J127" s="1"/>
    </row>
    <row r="128" spans="2:11" x14ac:dyDescent="0.3">
      <c r="B128" s="1"/>
      <c r="C128" s="1"/>
      <c r="D128" s="1"/>
      <c r="F128" s="1"/>
      <c r="G128" s="1"/>
      <c r="H128" s="1"/>
      <c r="I128" s="1"/>
      <c r="J128" s="1"/>
    </row>
    <row r="129" spans="2:10" ht="18" x14ac:dyDescent="0.35">
      <c r="B129" s="13" t="s">
        <v>138</v>
      </c>
      <c r="C129" s="14"/>
      <c r="D129" s="2">
        <v>2011</v>
      </c>
      <c r="E129" s="2">
        <v>2012</v>
      </c>
      <c r="F129" s="2">
        <v>2013</v>
      </c>
      <c r="G129" s="2">
        <v>2014</v>
      </c>
      <c r="H129" s="2">
        <v>2015</v>
      </c>
      <c r="I129" s="3">
        <v>2016</v>
      </c>
      <c r="J129" s="3">
        <v>2017</v>
      </c>
    </row>
    <row r="130" spans="2:10" x14ac:dyDescent="0.3">
      <c r="B130" s="1" t="s">
        <v>44</v>
      </c>
      <c r="C130" s="1"/>
      <c r="D130" s="1"/>
      <c r="F130" s="30">
        <f>F131+F132</f>
        <v>714963.64</v>
      </c>
      <c r="G130" s="30">
        <f t="shared" ref="G130:J130" si="45">G131+G132</f>
        <v>915637.35999999952</v>
      </c>
      <c r="H130" s="30">
        <f t="shared" si="45"/>
        <v>1025387.22</v>
      </c>
      <c r="I130" s="30">
        <f t="shared" si="45"/>
        <v>334709.02999999974</v>
      </c>
      <c r="J130" s="30">
        <f t="shared" si="45"/>
        <v>808180.3599999994</v>
      </c>
    </row>
    <row r="131" spans="2:10" x14ac:dyDescent="0.3">
      <c r="B131" s="1"/>
      <c r="C131" s="1" t="s">
        <v>45</v>
      </c>
      <c r="D131" s="1"/>
      <c r="F131" s="5">
        <f>F14</f>
        <v>196638.77000000011</v>
      </c>
      <c r="G131" s="1">
        <f>G14</f>
        <v>574298.02999999945</v>
      </c>
      <c r="H131" s="1">
        <f>H14</f>
        <v>565179</v>
      </c>
      <c r="I131" s="1">
        <f>I14</f>
        <v>235922.76999999996</v>
      </c>
      <c r="J131" s="1">
        <f>J14</f>
        <v>18149.609999999349</v>
      </c>
    </row>
    <row r="132" spans="2:10" x14ac:dyDescent="0.3">
      <c r="B132" s="1"/>
      <c r="C132" s="1" t="s">
        <v>46</v>
      </c>
      <c r="D132" s="1"/>
      <c r="F132" s="5">
        <f>F10</f>
        <v>518324.86999999988</v>
      </c>
      <c r="G132" s="1">
        <f>G10</f>
        <v>341339.33000000007</v>
      </c>
      <c r="H132" s="1">
        <f>H10</f>
        <v>460208.22</v>
      </c>
      <c r="I132" s="1">
        <f>I10</f>
        <v>98786.259999999776</v>
      </c>
      <c r="J132" s="1">
        <f>J10</f>
        <v>790030.75</v>
      </c>
    </row>
    <row r="133" spans="2:10" x14ac:dyDescent="0.3">
      <c r="B133" s="1" t="s">
        <v>47</v>
      </c>
      <c r="C133" s="1"/>
      <c r="D133" s="1"/>
      <c r="F133" s="5">
        <f>F89-E14</f>
        <v>92829.180000000808</v>
      </c>
      <c r="G133" s="1">
        <f>G89-F14</f>
        <v>381709.82999999996</v>
      </c>
      <c r="H133" s="1">
        <f>H89-G14</f>
        <v>-72469.519999999669</v>
      </c>
      <c r="I133" s="1">
        <f>I89-H14</f>
        <v>-323791</v>
      </c>
      <c r="J133" s="1">
        <f>J89-I14</f>
        <v>519771.18000000023</v>
      </c>
    </row>
    <row r="134" spans="2:10" x14ac:dyDescent="0.3">
      <c r="B134" s="1" t="s">
        <v>39</v>
      </c>
      <c r="C134" s="1"/>
      <c r="D134" s="1"/>
      <c r="F134" s="5">
        <f>F84</f>
        <v>171949.59999999986</v>
      </c>
      <c r="G134" s="1">
        <f>G84</f>
        <v>1102945.1100000001</v>
      </c>
      <c r="H134" s="1">
        <f>H84</f>
        <v>991755.98</v>
      </c>
      <c r="I134" s="1">
        <f>I84</f>
        <v>2182328.6100000003</v>
      </c>
      <c r="J134" s="1">
        <f>J84</f>
        <v>1161311.4899999993</v>
      </c>
    </row>
    <row r="135" spans="2:10" x14ac:dyDescent="0.3">
      <c r="B135" s="1"/>
      <c r="C135" s="9" t="s">
        <v>48</v>
      </c>
      <c r="D135" s="1"/>
      <c r="F135" s="12">
        <f>SUM(F131:F134)</f>
        <v>979742.42000000062</v>
      </c>
      <c r="G135" s="3">
        <f t="shared" ref="G135:J135" si="46">SUM(G131:G134)</f>
        <v>2400292.2999999998</v>
      </c>
      <c r="H135" s="3">
        <f t="shared" si="46"/>
        <v>1944673.6800000002</v>
      </c>
      <c r="I135" s="3">
        <f t="shared" si="46"/>
        <v>2193246.64</v>
      </c>
      <c r="J135" s="3">
        <f t="shared" si="46"/>
        <v>2489263.0299999989</v>
      </c>
    </row>
    <row r="136" spans="2:10" ht="6.75" customHeight="1" x14ac:dyDescent="0.3">
      <c r="B136" s="1"/>
      <c r="C136" s="1"/>
      <c r="D136" s="1"/>
      <c r="F136" s="5"/>
      <c r="G136" s="1"/>
      <c r="H136" s="1"/>
      <c r="I136" s="1"/>
      <c r="J136" s="1"/>
    </row>
    <row r="137" spans="2:10" x14ac:dyDescent="0.3">
      <c r="B137" s="1" t="s">
        <v>136</v>
      </c>
      <c r="C137" s="1"/>
      <c r="D137" s="1"/>
      <c r="F137" s="5">
        <f>F70-F81</f>
        <v>485286.6800000004</v>
      </c>
      <c r="G137" s="1">
        <f>G70-G81</f>
        <v>64844.580000000424</v>
      </c>
      <c r="H137" s="1">
        <f>H70-H81</f>
        <v>453786.36999999965</v>
      </c>
      <c r="I137" s="1">
        <f>I70-I81</f>
        <v>-8292.5299999993294</v>
      </c>
      <c r="J137" s="1">
        <f>J70-J81</f>
        <v>-531488.28000000119</v>
      </c>
    </row>
    <row r="138" spans="2:10" x14ac:dyDescent="0.3">
      <c r="B138" s="1" t="s">
        <v>111</v>
      </c>
      <c r="C138" s="1"/>
      <c r="D138" s="1"/>
      <c r="F138" s="5">
        <f>F76+F77</f>
        <v>494455.67000000062</v>
      </c>
      <c r="G138" s="5">
        <f>G76+G77</f>
        <v>2335446.92</v>
      </c>
      <c r="H138" s="5">
        <f>H76+H77</f>
        <v>1490888.8499999999</v>
      </c>
      <c r="I138" s="5">
        <f>I76+I77</f>
        <v>2201538.17</v>
      </c>
      <c r="J138" s="5">
        <f>J76+J77</f>
        <v>3020751.3000000007</v>
      </c>
    </row>
    <row r="139" spans="2:10" x14ac:dyDescent="0.3">
      <c r="B139" s="1"/>
      <c r="C139" s="9" t="s">
        <v>49</v>
      </c>
      <c r="D139" s="1"/>
      <c r="F139" s="12">
        <f>F137+F138</f>
        <v>979742.35000000102</v>
      </c>
      <c r="G139" s="12">
        <f t="shared" ref="G139:J139" si="47">G137+G138</f>
        <v>2400291.5000000005</v>
      </c>
      <c r="H139" s="12">
        <f t="shared" si="47"/>
        <v>1944675.2199999995</v>
      </c>
      <c r="I139" s="12">
        <f t="shared" si="47"/>
        <v>2193245.6400000006</v>
      </c>
      <c r="J139" s="12">
        <f t="shared" si="47"/>
        <v>2489263.0199999996</v>
      </c>
    </row>
    <row r="140" spans="2:10" x14ac:dyDescent="0.3">
      <c r="B140" s="1"/>
      <c r="C140" s="9"/>
      <c r="D140" s="1"/>
      <c r="F140" s="5"/>
      <c r="G140" s="1"/>
      <c r="H140" s="1"/>
      <c r="I140" s="1"/>
      <c r="J140" s="1"/>
    </row>
    <row r="141" spans="2:10" x14ac:dyDescent="0.3">
      <c r="B141" s="1"/>
      <c r="C141" s="9"/>
      <c r="D141" s="1"/>
      <c r="F141" s="15"/>
      <c r="G141" s="1"/>
      <c r="H141" s="1"/>
      <c r="I141" s="1"/>
      <c r="J141" s="1"/>
    </row>
    <row r="142" spans="2:10" x14ac:dyDescent="0.3">
      <c r="B142" s="3"/>
      <c r="C142" s="9"/>
      <c r="D142" s="1"/>
      <c r="F142" s="1"/>
      <c r="G142" s="1"/>
      <c r="H142" s="1"/>
      <c r="I142" s="1"/>
      <c r="J142" s="1"/>
    </row>
    <row r="143" spans="2:10" ht="18" x14ac:dyDescent="0.35">
      <c r="B143" s="10" t="s">
        <v>134</v>
      </c>
      <c r="C143" s="9"/>
      <c r="D143" s="3">
        <v>2011</v>
      </c>
      <c r="E143" s="2">
        <v>2012</v>
      </c>
      <c r="F143" s="3">
        <v>2013</v>
      </c>
      <c r="G143" s="3">
        <v>2014</v>
      </c>
      <c r="H143" s="3">
        <v>2015</v>
      </c>
      <c r="I143" s="3">
        <v>2016</v>
      </c>
      <c r="J143" s="3">
        <v>2017</v>
      </c>
    </row>
    <row r="144" spans="2:10" x14ac:dyDescent="0.3">
      <c r="B144" s="30" t="s">
        <v>44</v>
      </c>
      <c r="C144" s="31"/>
      <c r="D144" s="1"/>
      <c r="F144" s="1">
        <f>F130</f>
        <v>714963.64</v>
      </c>
      <c r="G144" s="1">
        <f t="shared" ref="G144:J144" si="48">G130</f>
        <v>915637.35999999952</v>
      </c>
      <c r="H144" s="1">
        <f t="shared" si="48"/>
        <v>1025387.22</v>
      </c>
      <c r="I144" s="1">
        <f t="shared" si="48"/>
        <v>334709.02999999974</v>
      </c>
      <c r="J144" s="1">
        <f t="shared" si="48"/>
        <v>808180.3599999994</v>
      </c>
    </row>
    <row r="145" spans="2:10" x14ac:dyDescent="0.3">
      <c r="B145" s="30"/>
      <c r="C145" s="31" t="s">
        <v>45</v>
      </c>
      <c r="D145" s="1"/>
      <c r="F145" s="1">
        <f t="shared" ref="F145:J145" si="49">F131</f>
        <v>196638.77000000011</v>
      </c>
      <c r="G145" s="1">
        <f t="shared" si="49"/>
        <v>574298.02999999945</v>
      </c>
      <c r="H145" s="1">
        <f t="shared" si="49"/>
        <v>565179</v>
      </c>
      <c r="I145" s="1">
        <f t="shared" si="49"/>
        <v>235922.76999999996</v>
      </c>
      <c r="J145" s="1">
        <f t="shared" si="49"/>
        <v>18149.609999999349</v>
      </c>
    </row>
    <row r="146" spans="2:10" x14ac:dyDescent="0.3">
      <c r="B146" s="30"/>
      <c r="C146" s="31" t="s">
        <v>46</v>
      </c>
      <c r="D146" s="1"/>
      <c r="F146" s="1">
        <f t="shared" ref="F146:J146" si="50">F132</f>
        <v>518324.86999999988</v>
      </c>
      <c r="G146" s="1">
        <f t="shared" si="50"/>
        <v>341339.33000000007</v>
      </c>
      <c r="H146" s="1">
        <f t="shared" si="50"/>
        <v>460208.22</v>
      </c>
      <c r="I146" s="1">
        <f t="shared" si="50"/>
        <v>98786.259999999776</v>
      </c>
      <c r="J146" s="1">
        <f t="shared" si="50"/>
        <v>790030.75</v>
      </c>
    </row>
    <row r="147" spans="2:10" x14ac:dyDescent="0.3">
      <c r="B147" s="30" t="s">
        <v>47</v>
      </c>
      <c r="C147" s="31"/>
      <c r="D147" s="1"/>
      <c r="F147" s="1">
        <f t="shared" ref="F147:J147" si="51">F133</f>
        <v>92829.180000000808</v>
      </c>
      <c r="G147" s="1">
        <f t="shared" si="51"/>
        <v>381709.82999999996</v>
      </c>
      <c r="H147" s="1">
        <f t="shared" si="51"/>
        <v>-72469.519999999669</v>
      </c>
      <c r="I147" s="1">
        <f t="shared" si="51"/>
        <v>-323791</v>
      </c>
      <c r="J147" s="1">
        <f t="shared" si="51"/>
        <v>519771.18000000023</v>
      </c>
    </row>
    <row r="148" spans="2:10" x14ac:dyDescent="0.3">
      <c r="B148" s="30" t="s">
        <v>39</v>
      </c>
      <c r="C148" s="31"/>
      <c r="D148" s="1"/>
      <c r="F148" s="1">
        <f t="shared" ref="F148:J148" si="52">F134</f>
        <v>171949.59999999986</v>
      </c>
      <c r="G148" s="1">
        <f t="shared" si="52"/>
        <v>1102945.1100000001</v>
      </c>
      <c r="H148" s="1">
        <f t="shared" si="52"/>
        <v>991755.98</v>
      </c>
      <c r="I148" s="1">
        <f t="shared" si="52"/>
        <v>2182328.6100000003</v>
      </c>
      <c r="J148" s="1">
        <f t="shared" si="52"/>
        <v>1161311.4899999993</v>
      </c>
    </row>
    <row r="149" spans="2:10" x14ac:dyDescent="0.3">
      <c r="B149" s="3"/>
      <c r="C149" s="9" t="s">
        <v>48</v>
      </c>
      <c r="D149" s="1"/>
      <c r="F149" s="3">
        <f>SUM(F145:F148)</f>
        <v>979742.42000000062</v>
      </c>
      <c r="G149" s="3">
        <f t="shared" ref="G149:J149" si="53">SUM(G145:G148)</f>
        <v>2400292.2999999998</v>
      </c>
      <c r="H149" s="3">
        <f t="shared" si="53"/>
        <v>1944673.6800000002</v>
      </c>
      <c r="I149" s="3">
        <f t="shared" si="53"/>
        <v>2193246.64</v>
      </c>
      <c r="J149" s="3">
        <f t="shared" si="53"/>
        <v>2489263.0299999989</v>
      </c>
    </row>
    <row r="150" spans="2:10" x14ac:dyDescent="0.3">
      <c r="B150" s="3"/>
      <c r="C150" s="9"/>
      <c r="D150" s="1"/>
      <c r="F150" s="1"/>
      <c r="G150" s="1"/>
      <c r="H150" s="1"/>
      <c r="I150" s="1"/>
      <c r="J150" s="1"/>
    </row>
    <row r="151" spans="2:10" x14ac:dyDescent="0.3">
      <c r="B151" s="30" t="s">
        <v>137</v>
      </c>
      <c r="C151" s="31"/>
      <c r="D151" s="1"/>
      <c r="F151" s="1">
        <f>F137-F100</f>
        <v>-229837.32999999961</v>
      </c>
      <c r="G151" s="1">
        <f>G137-G100</f>
        <v>955048.01000000047</v>
      </c>
      <c r="H151" s="1">
        <f>H137-H100</f>
        <v>271165.86999999965</v>
      </c>
      <c r="I151" s="1">
        <f>I137-I100</f>
        <v>-1462214.7399999993</v>
      </c>
      <c r="J151" s="1">
        <f>J137-J100</f>
        <v>252315.15999999875</v>
      </c>
    </row>
    <row r="152" spans="2:10" x14ac:dyDescent="0.3">
      <c r="B152" s="30" t="s">
        <v>111</v>
      </c>
      <c r="C152" s="31"/>
      <c r="D152" s="1"/>
      <c r="F152" s="1">
        <f t="shared" ref="F152:J152" si="54">F138</f>
        <v>494455.67000000062</v>
      </c>
      <c r="G152" s="1">
        <f t="shared" si="54"/>
        <v>2335446.92</v>
      </c>
      <c r="H152" s="1">
        <f t="shared" si="54"/>
        <v>1490888.8499999999</v>
      </c>
      <c r="I152" s="1">
        <f t="shared" si="54"/>
        <v>2201538.17</v>
      </c>
      <c r="J152" s="1">
        <f t="shared" si="54"/>
        <v>3020751.3000000007</v>
      </c>
    </row>
    <row r="153" spans="2:10" x14ac:dyDescent="0.3">
      <c r="B153" s="3"/>
      <c r="C153" s="9" t="s">
        <v>49</v>
      </c>
      <c r="D153" s="1"/>
      <c r="F153" s="3">
        <f>SUM(F151:F152)</f>
        <v>264618.34000000102</v>
      </c>
      <c r="G153" s="3">
        <f t="shared" ref="G153:J153" si="55">SUM(G151:G152)</f>
        <v>3290494.9300000006</v>
      </c>
      <c r="H153" s="3">
        <f t="shared" si="55"/>
        <v>1762054.7199999995</v>
      </c>
      <c r="I153" s="3">
        <f t="shared" si="55"/>
        <v>739323.43000000063</v>
      </c>
      <c r="J153" s="3">
        <f t="shared" si="55"/>
        <v>3273066.4599999995</v>
      </c>
    </row>
    <row r="154" spans="2:10" x14ac:dyDescent="0.3">
      <c r="B154" s="3"/>
      <c r="C154" s="9"/>
      <c r="D154" s="1"/>
      <c r="F154" s="1"/>
      <c r="G154" s="1"/>
      <c r="H154" s="1"/>
      <c r="I154" s="1"/>
      <c r="J154" s="1"/>
    </row>
    <row r="155" spans="2:10" x14ac:dyDescent="0.3">
      <c r="B155" s="3"/>
      <c r="C155" s="32" t="s">
        <v>134</v>
      </c>
      <c r="D155" s="29"/>
      <c r="E155" s="14"/>
      <c r="F155" s="33">
        <f>F149-F153</f>
        <v>715124.07999999961</v>
      </c>
      <c r="G155" s="33">
        <f t="shared" ref="G155:J155" si="56">G149-G153</f>
        <v>-890202.63000000082</v>
      </c>
      <c r="H155" s="33">
        <f t="shared" si="56"/>
        <v>182618.96000000066</v>
      </c>
      <c r="I155" s="33">
        <f t="shared" si="56"/>
        <v>1453923.2099999995</v>
      </c>
      <c r="J155" s="33">
        <f t="shared" si="56"/>
        <v>-783803.43000000063</v>
      </c>
    </row>
    <row r="156" spans="2:10" x14ac:dyDescent="0.3">
      <c r="B156" s="3"/>
      <c r="C156" s="9"/>
      <c r="D156" s="1"/>
      <c r="F156" s="1"/>
      <c r="G156" s="1"/>
      <c r="H156" s="1"/>
      <c r="I156" s="1"/>
      <c r="J156" s="1"/>
    </row>
    <row r="157" spans="2:10" x14ac:dyDescent="0.3">
      <c r="B157" s="3" t="s">
        <v>135</v>
      </c>
      <c r="C157" s="9"/>
      <c r="D157" s="1"/>
      <c r="F157" s="1"/>
      <c r="G157" s="1"/>
      <c r="H157" s="1"/>
      <c r="I157" s="1"/>
      <c r="J157" s="1"/>
    </row>
    <row r="158" spans="2:10" x14ac:dyDescent="0.3">
      <c r="B158" s="3"/>
      <c r="C158" s="9"/>
      <c r="D158" s="1"/>
      <c r="F158" s="1"/>
      <c r="G158" s="1"/>
      <c r="H158" s="1"/>
      <c r="I158" s="1"/>
      <c r="J158" s="1"/>
    </row>
    <row r="159" spans="2:10" x14ac:dyDescent="0.3">
      <c r="B159" s="3"/>
      <c r="C159" s="9"/>
      <c r="D159" s="1"/>
      <c r="F159" s="1"/>
      <c r="G159" s="1"/>
      <c r="H159" s="1"/>
      <c r="I159" s="1"/>
      <c r="J159" s="1"/>
    </row>
    <row r="160" spans="2:10" x14ac:dyDescent="0.3">
      <c r="B160" s="3"/>
      <c r="C160" s="9"/>
      <c r="D160" s="1"/>
      <c r="F160" s="1"/>
      <c r="G160" s="1"/>
      <c r="H160" s="1"/>
      <c r="I160" s="1"/>
      <c r="J160" s="1"/>
    </row>
    <row r="161" spans="2:10" x14ac:dyDescent="0.3">
      <c r="B161" s="3"/>
      <c r="C161" s="9"/>
      <c r="D161" s="1"/>
      <c r="F161" s="1"/>
      <c r="G161" s="1"/>
      <c r="H161" s="1"/>
      <c r="I161" s="1"/>
      <c r="J161" s="1"/>
    </row>
    <row r="162" spans="2:10" ht="18" x14ac:dyDescent="0.35">
      <c r="B162" s="7" t="s">
        <v>131</v>
      </c>
      <c r="D162" s="2">
        <v>2011</v>
      </c>
      <c r="E162" s="2">
        <v>2012</v>
      </c>
      <c r="F162" s="2">
        <v>2013</v>
      </c>
      <c r="G162" s="2">
        <v>2014</v>
      </c>
      <c r="H162" s="2">
        <v>2015</v>
      </c>
      <c r="I162" s="3">
        <v>2016</v>
      </c>
      <c r="J162" s="3">
        <v>2017</v>
      </c>
    </row>
    <row r="163" spans="2:10" x14ac:dyDescent="0.3">
      <c r="B163" s="34" t="s">
        <v>116</v>
      </c>
      <c r="C163" s="34"/>
      <c r="D163" s="1"/>
      <c r="F163" s="12">
        <f>E19</f>
        <v>93401.919999999998</v>
      </c>
      <c r="G163" s="12">
        <f>F19</f>
        <v>808525.93</v>
      </c>
      <c r="H163" s="12">
        <f>G19</f>
        <v>-81677.5</v>
      </c>
      <c r="I163" s="12">
        <f>H19</f>
        <v>100943</v>
      </c>
      <c r="J163" s="12">
        <f>I19</f>
        <v>1554865.21</v>
      </c>
    </row>
    <row r="164" spans="2:10" ht="9" customHeight="1" x14ac:dyDescent="0.3">
      <c r="B164" s="3"/>
      <c r="C164" s="27"/>
      <c r="D164" s="1"/>
      <c r="F164" s="5"/>
      <c r="G164" s="5"/>
      <c r="H164" s="5"/>
      <c r="I164" s="5"/>
      <c r="J164" s="5"/>
    </row>
    <row r="165" spans="2:10" x14ac:dyDescent="0.3">
      <c r="B165" s="34" t="s">
        <v>117</v>
      </c>
      <c r="C165" s="34"/>
      <c r="D165" s="1"/>
      <c r="F165" s="5">
        <f>SUM(F166:F171)</f>
        <v>740096.02000000048</v>
      </c>
      <c r="G165" s="5">
        <f>SUM(G166:G171)</f>
        <v>1864385.9799999995</v>
      </c>
      <c r="H165" s="5">
        <f>SUM(H166:H171)</f>
        <v>703242.97000000032</v>
      </c>
      <c r="I165" s="5">
        <f>SUM(I166:I171)</f>
        <v>2585174.71</v>
      </c>
      <c r="J165" s="5">
        <f>SUM(J166:J171)</f>
        <v>2824144.7999999993</v>
      </c>
    </row>
    <row r="166" spans="2:10" x14ac:dyDescent="0.3">
      <c r="B166" s="28"/>
      <c r="C166" s="22" t="s">
        <v>127</v>
      </c>
      <c r="D166" s="1"/>
      <c r="F166" s="5">
        <f>F14+F10</f>
        <v>714963.64</v>
      </c>
      <c r="G166" s="5">
        <f>G14+G10</f>
        <v>915637.35999999952</v>
      </c>
      <c r="H166" s="5">
        <f>H14+H10</f>
        <v>1025387.22</v>
      </c>
      <c r="I166" s="5">
        <f>I14+I10</f>
        <v>334709.02999999974</v>
      </c>
      <c r="J166" s="5">
        <f>J14+J10</f>
        <v>808180.3599999994</v>
      </c>
    </row>
    <row r="167" spans="2:10" x14ac:dyDescent="0.3">
      <c r="B167" s="28"/>
      <c r="C167" s="1" t="s">
        <v>119</v>
      </c>
      <c r="D167" s="1"/>
      <c r="F167" s="5">
        <f>-F46</f>
        <v>244838.59999999986</v>
      </c>
      <c r="G167" s="5">
        <f>-G46</f>
        <v>-590953.32000000007</v>
      </c>
      <c r="H167" s="5">
        <f>-H46</f>
        <v>-1110411.71</v>
      </c>
      <c r="I167" s="5">
        <f>-I46</f>
        <v>735108.94</v>
      </c>
      <c r="J167" s="5">
        <f>-J46</f>
        <v>-96720.009999999776</v>
      </c>
    </row>
    <row r="168" spans="2:10" x14ac:dyDescent="0.3">
      <c r="B168" s="28"/>
      <c r="C168" s="1" t="s">
        <v>120</v>
      </c>
      <c r="D168" s="1"/>
      <c r="F168" s="5">
        <f>-F48</f>
        <v>-484485</v>
      </c>
      <c r="G168" s="5">
        <f>-G48</f>
        <v>55047</v>
      </c>
      <c r="H168" s="5">
        <f>-H48</f>
        <v>-131019</v>
      </c>
      <c r="I168" s="5">
        <f>-I48</f>
        <v>-343180.87000000011</v>
      </c>
      <c r="J168" s="5">
        <f>-J48</f>
        <v>431601.78000000014</v>
      </c>
    </row>
    <row r="169" spans="2:10" x14ac:dyDescent="0.3">
      <c r="B169" s="3"/>
      <c r="C169" s="1" t="s">
        <v>47</v>
      </c>
      <c r="D169" s="1"/>
      <c r="F169" s="5">
        <f>F64-E14</f>
        <v>92829.180000000808</v>
      </c>
      <c r="G169" s="5">
        <f>G64-F14</f>
        <v>381709.82999999996</v>
      </c>
      <c r="H169" s="5">
        <f>H64-G14</f>
        <v>-72469.519999999669</v>
      </c>
      <c r="I169" s="5">
        <f>I64-H14</f>
        <v>-323791</v>
      </c>
      <c r="J169" s="5">
        <f>J64-I14</f>
        <v>519771.18000000023</v>
      </c>
    </row>
    <row r="170" spans="2:10" x14ac:dyDescent="0.3">
      <c r="B170" s="3"/>
      <c r="C170" s="1" t="s">
        <v>124</v>
      </c>
      <c r="D170" s="1"/>
      <c r="F170" s="5">
        <f t="shared" ref="F170:J171" si="57">F60</f>
        <v>171949.59999999986</v>
      </c>
      <c r="G170" s="5">
        <f t="shared" si="57"/>
        <v>1102945.1100000001</v>
      </c>
      <c r="H170" s="5">
        <f t="shared" si="57"/>
        <v>991755.98</v>
      </c>
      <c r="I170" s="5">
        <f t="shared" si="57"/>
        <v>291278.61000000034</v>
      </c>
      <c r="J170" s="5">
        <f t="shared" si="57"/>
        <v>1225495.9499999993</v>
      </c>
    </row>
    <row r="171" spans="2:10" x14ac:dyDescent="0.3">
      <c r="B171" s="3"/>
      <c r="C171" s="1" t="s">
        <v>123</v>
      </c>
      <c r="D171" s="1"/>
      <c r="F171" s="5">
        <f t="shared" si="57"/>
        <v>0</v>
      </c>
      <c r="G171" s="5">
        <f t="shared" si="57"/>
        <v>0</v>
      </c>
      <c r="H171" s="5">
        <f t="shared" si="57"/>
        <v>0</v>
      </c>
      <c r="I171" s="5">
        <f t="shared" si="57"/>
        <v>1891050</v>
      </c>
      <c r="J171" s="5">
        <f t="shared" si="57"/>
        <v>-64184.459999999963</v>
      </c>
    </row>
    <row r="172" spans="2:10" ht="7.5" customHeight="1" x14ac:dyDescent="0.3">
      <c r="B172" s="3"/>
      <c r="D172" s="1"/>
      <c r="F172" s="5"/>
      <c r="G172" s="5"/>
      <c r="H172" s="5"/>
      <c r="I172" s="5"/>
      <c r="J172" s="5"/>
    </row>
    <row r="173" spans="2:10" x14ac:dyDescent="0.3">
      <c r="B173" s="34" t="s">
        <v>118</v>
      </c>
      <c r="C173" s="34"/>
      <c r="D173" s="1"/>
      <c r="F173" s="5">
        <f>SUM(F174:F177)</f>
        <v>24971.940000000643</v>
      </c>
      <c r="G173" s="5">
        <f t="shared" ref="G173:J173" si="58">SUM(G174:G177)</f>
        <v>2754588.6100000003</v>
      </c>
      <c r="H173" s="5">
        <f t="shared" si="58"/>
        <v>520624.00999999954</v>
      </c>
      <c r="I173" s="5">
        <f t="shared" si="58"/>
        <v>1131251.5</v>
      </c>
      <c r="J173" s="5">
        <f t="shared" si="58"/>
        <v>3607948.2300000004</v>
      </c>
    </row>
    <row r="174" spans="2:10" x14ac:dyDescent="0.3">
      <c r="B174" s="3"/>
      <c r="C174" t="s">
        <v>121</v>
      </c>
      <c r="D174" s="1"/>
      <c r="F174" s="5">
        <f>-F57</f>
        <v>439850.16999999993</v>
      </c>
      <c r="G174" s="5">
        <f>-G57</f>
        <v>-730031.79</v>
      </c>
      <c r="H174" s="5">
        <f>-H57</f>
        <v>-337787.31000000006</v>
      </c>
      <c r="I174" s="5">
        <f>-I57</f>
        <v>-1989384.46</v>
      </c>
      <c r="J174" s="5">
        <f>-J57</f>
        <v>1703889.21</v>
      </c>
    </row>
    <row r="175" spans="2:10" x14ac:dyDescent="0.3">
      <c r="B175" s="3"/>
      <c r="C175" s="1" t="s">
        <v>128</v>
      </c>
      <c r="D175" s="1"/>
      <c r="F175" s="5">
        <f>F47</f>
        <v>46178.530000000028</v>
      </c>
      <c r="G175" s="5">
        <f>G47</f>
        <v>431777.45999999996</v>
      </c>
      <c r="H175" s="5">
        <f>H47</f>
        <v>606390.06000000006</v>
      </c>
      <c r="I175" s="5">
        <f>I47</f>
        <v>373648.7799999998</v>
      </c>
      <c r="J175" s="5">
        <f>J47</f>
        <v>-486956.19999999972</v>
      </c>
    </row>
    <row r="176" spans="2:10" x14ac:dyDescent="0.3">
      <c r="B176" s="3"/>
      <c r="C176" t="s">
        <v>125</v>
      </c>
      <c r="D176" s="1"/>
      <c r="F176" s="5">
        <f>-F58</f>
        <v>-955512.43000000017</v>
      </c>
      <c r="G176" s="5">
        <f>-G58</f>
        <v>717396.02000000025</v>
      </c>
      <c r="H176" s="5">
        <f>-H58</f>
        <v>-1238867.5900000001</v>
      </c>
      <c r="I176" s="5">
        <f>-I58</f>
        <v>545449.01000000024</v>
      </c>
      <c r="J176" s="5">
        <f>-J58</f>
        <v>-629736.08000000054</v>
      </c>
    </row>
    <row r="177" spans="2:10" x14ac:dyDescent="0.3">
      <c r="B177" s="3"/>
      <c r="C177" t="s">
        <v>126</v>
      </c>
      <c r="D177" s="1"/>
      <c r="F177" s="5">
        <f>F51</f>
        <v>494455.67000000086</v>
      </c>
      <c r="G177" s="5">
        <f>G51</f>
        <v>2335446.92</v>
      </c>
      <c r="H177" s="5">
        <f>H51</f>
        <v>1490888.8499999996</v>
      </c>
      <c r="I177" s="5">
        <f>I51</f>
        <v>2201538.17</v>
      </c>
      <c r="J177" s="5">
        <f>J51</f>
        <v>3020751.3000000007</v>
      </c>
    </row>
    <row r="178" spans="2:10" ht="9" customHeight="1" x14ac:dyDescent="0.3">
      <c r="B178" s="3"/>
      <c r="D178" s="1"/>
      <c r="F178" s="1"/>
      <c r="G178" s="1"/>
      <c r="H178" s="1"/>
      <c r="I178" s="1"/>
      <c r="J178" s="1"/>
    </row>
    <row r="179" spans="2:10" x14ac:dyDescent="0.3">
      <c r="B179" s="34" t="s">
        <v>122</v>
      </c>
      <c r="C179" s="34"/>
      <c r="D179" s="1"/>
      <c r="F179" s="3">
        <f>F163+F165-F173</f>
        <v>808525.99999999988</v>
      </c>
      <c r="G179" s="3">
        <f>G163+G165-G173</f>
        <v>-81676.700000000652</v>
      </c>
      <c r="H179" s="3">
        <f>H163+H165-H173</f>
        <v>100941.46000000078</v>
      </c>
      <c r="I179" s="3">
        <f>I163+I165-I173</f>
        <v>1554866.21</v>
      </c>
      <c r="J179" s="3">
        <f>J163+J165-J173</f>
        <v>771061.77999999933</v>
      </c>
    </row>
    <row r="180" spans="2:10" x14ac:dyDescent="0.3">
      <c r="B180" s="3"/>
      <c r="C180" s="1" t="s">
        <v>0</v>
      </c>
      <c r="D180" s="1"/>
      <c r="F180" s="1"/>
      <c r="G180" s="1"/>
      <c r="H180" s="1"/>
      <c r="I180" s="1"/>
      <c r="J180" s="1"/>
    </row>
  </sheetData>
  <mergeCells count="4">
    <mergeCell ref="B163:C163"/>
    <mergeCell ref="B165:C165"/>
    <mergeCell ref="B173:C173"/>
    <mergeCell ref="B179:C179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2:J136"/>
  <sheetViews>
    <sheetView workbookViewId="0">
      <selection activeCell="F111" sqref="F111"/>
    </sheetView>
  </sheetViews>
  <sheetFormatPr defaultRowHeight="14.4" x14ac:dyDescent="0.3"/>
  <cols>
    <col min="1" max="1" width="2" customWidth="1"/>
    <col min="2" max="2" width="3.6640625" customWidth="1"/>
    <col min="3" max="3" width="32.88671875" customWidth="1"/>
    <col min="4" max="4" width="6" customWidth="1"/>
    <col min="5" max="7" width="19.33203125" bestFit="1" customWidth="1"/>
    <col min="8" max="8" width="10.6640625" customWidth="1"/>
    <col min="9" max="9" width="10.88671875" customWidth="1"/>
    <col min="10" max="10" width="12.109375" customWidth="1"/>
  </cols>
  <sheetData>
    <row r="2" spans="2:9" ht="18" x14ac:dyDescent="0.35">
      <c r="B2" s="7" t="s">
        <v>50</v>
      </c>
      <c r="D2" s="7"/>
      <c r="E2" s="7">
        <v>2014</v>
      </c>
      <c r="F2" s="7">
        <v>2015</v>
      </c>
      <c r="G2" s="7">
        <v>2016</v>
      </c>
    </row>
    <row r="3" spans="2:9" x14ac:dyDescent="0.3">
      <c r="B3" t="s">
        <v>51</v>
      </c>
      <c r="D3" s="12"/>
      <c r="E3" s="17">
        <v>107946394.58</v>
      </c>
      <c r="F3" s="17">
        <v>131770539.16</v>
      </c>
      <c r="G3" s="17">
        <v>157914948.63999999</v>
      </c>
    </row>
    <row r="4" spans="2:9" x14ac:dyDescent="0.3">
      <c r="B4" t="s">
        <v>52</v>
      </c>
      <c r="D4" s="1"/>
      <c r="E4" s="1">
        <v>87015246.140000001</v>
      </c>
      <c r="F4" s="1">
        <v>105662328.81999999</v>
      </c>
      <c r="G4" s="1">
        <v>129155134.14</v>
      </c>
    </row>
    <row r="5" spans="2:9" x14ac:dyDescent="0.3">
      <c r="B5" t="s">
        <v>53</v>
      </c>
      <c r="D5" s="1"/>
      <c r="E5" s="1">
        <f>E3-E4</f>
        <v>20931148.439999998</v>
      </c>
      <c r="F5" s="1">
        <f t="shared" ref="F5:G5" si="0">F3-F4</f>
        <v>26108210.340000004</v>
      </c>
      <c r="G5" s="1">
        <f t="shared" si="0"/>
        <v>28759814.499999985</v>
      </c>
    </row>
    <row r="6" spans="2:9" x14ac:dyDescent="0.3">
      <c r="B6" t="s">
        <v>54</v>
      </c>
      <c r="D6" s="1"/>
      <c r="E6" s="1">
        <v>8059316.6299999999</v>
      </c>
      <c r="F6" s="1">
        <v>9929318.9499999993</v>
      </c>
      <c r="G6" s="1">
        <v>15082244.310000001</v>
      </c>
      <c r="I6" s="1"/>
    </row>
    <row r="7" spans="2:9" x14ac:dyDescent="0.3">
      <c r="B7" t="s">
        <v>55</v>
      </c>
      <c r="D7" s="1"/>
      <c r="E7" s="1">
        <f>E5-E6</f>
        <v>12871831.809999999</v>
      </c>
      <c r="F7" s="1">
        <f t="shared" ref="F7:G7" si="1">F5-F6</f>
        <v>16178891.390000004</v>
      </c>
      <c r="G7" s="1">
        <f t="shared" si="1"/>
        <v>13677570.189999985</v>
      </c>
    </row>
    <row r="8" spans="2:9" x14ac:dyDescent="0.3">
      <c r="B8" t="s">
        <v>56</v>
      </c>
      <c r="D8" s="1"/>
      <c r="E8" s="1">
        <f>(4123806.99+453872.25)-(3753875.33+426223.15)</f>
        <v>397580.76000000024</v>
      </c>
      <c r="F8" s="1">
        <f>(16923901.8+486419.04)-(7322987.44+314185.02)</f>
        <v>9773148.379999999</v>
      </c>
      <c r="G8" s="1">
        <f>(8782800.78+393484.82)-(9329526.85+680296.33)</f>
        <v>-833537.58000000007</v>
      </c>
    </row>
    <row r="9" spans="2:9" x14ac:dyDescent="0.3">
      <c r="B9" t="s">
        <v>2</v>
      </c>
      <c r="D9" s="1"/>
      <c r="E9" s="1">
        <f>E7+E8</f>
        <v>13269412.569999998</v>
      </c>
      <c r="F9" s="1">
        <f t="shared" ref="F9:G9" si="2">F7+F8</f>
        <v>25952039.770000003</v>
      </c>
      <c r="G9" s="1">
        <f t="shared" si="2"/>
        <v>12844032.609999985</v>
      </c>
    </row>
    <row r="10" spans="2:9" x14ac:dyDescent="0.3">
      <c r="B10" t="s">
        <v>57</v>
      </c>
      <c r="D10" s="1"/>
      <c r="E10" s="1">
        <v>7096709</v>
      </c>
      <c r="F10" s="1">
        <f t="shared" ref="F10" si="3">F26-E26</f>
        <v>7376354.6199999973</v>
      </c>
      <c r="G10" s="1">
        <f>G26-F26</f>
        <v>9254645.8100000024</v>
      </c>
    </row>
    <row r="11" spans="2:9" x14ac:dyDescent="0.3">
      <c r="B11" t="s">
        <v>1</v>
      </c>
      <c r="D11" s="1"/>
      <c r="E11" s="1">
        <f>E9+E10</f>
        <v>20366121.57</v>
      </c>
      <c r="F11" s="1">
        <f t="shared" ref="F11:G11" si="4">F9+F10</f>
        <v>33328394.390000001</v>
      </c>
      <c r="G11" s="1">
        <f t="shared" si="4"/>
        <v>22098678.419999987</v>
      </c>
    </row>
    <row r="12" spans="2:9" x14ac:dyDescent="0.3">
      <c r="B12" t="s">
        <v>58</v>
      </c>
      <c r="D12" s="1"/>
      <c r="E12" s="1">
        <v>1334690.2</v>
      </c>
      <c r="F12" s="1">
        <v>9786045.6699999999</v>
      </c>
      <c r="G12" s="1">
        <v>1705466.98</v>
      </c>
    </row>
    <row r="13" spans="2:9" x14ac:dyDescent="0.3">
      <c r="B13" t="s">
        <v>59</v>
      </c>
      <c r="D13" s="1"/>
      <c r="E13" s="1">
        <v>1126931.1100000001</v>
      </c>
      <c r="F13" s="1">
        <v>1481644.29</v>
      </c>
      <c r="G13" s="1">
        <v>1500000</v>
      </c>
    </row>
    <row r="14" spans="2:9" x14ac:dyDescent="0.3">
      <c r="B14" t="s">
        <v>115</v>
      </c>
      <c r="D14" s="1"/>
      <c r="E14" s="1">
        <f>E9-E12-E13</f>
        <v>10807791.26</v>
      </c>
      <c r="F14" s="1">
        <f t="shared" ref="F14:G14" si="5">F9-F12-F13</f>
        <v>14684349.810000002</v>
      </c>
      <c r="G14" s="1">
        <f t="shared" si="5"/>
        <v>9638565.6299999841</v>
      </c>
    </row>
    <row r="17" spans="2:10" ht="18" x14ac:dyDescent="0.35">
      <c r="B17" s="7" t="s">
        <v>60</v>
      </c>
      <c r="D17" s="7"/>
      <c r="E17" s="7">
        <v>2014</v>
      </c>
      <c r="F17" s="7">
        <v>2015</v>
      </c>
      <c r="G17" s="7">
        <v>2016</v>
      </c>
    </row>
    <row r="18" spans="2:10" x14ac:dyDescent="0.3">
      <c r="B18" t="s">
        <v>61</v>
      </c>
      <c r="D18" s="1"/>
      <c r="E18" s="1">
        <f t="shared" ref="E18:G18" si="6">SUM(E19:E22)</f>
        <v>61012631.239999995</v>
      </c>
      <c r="F18" s="1">
        <f t="shared" si="6"/>
        <v>79103856.810000002</v>
      </c>
      <c r="G18" s="1">
        <f t="shared" si="6"/>
        <v>97102499.00999999</v>
      </c>
    </row>
    <row r="19" spans="2:10" x14ac:dyDescent="0.3">
      <c r="C19" t="s">
        <v>64</v>
      </c>
      <c r="D19" s="1"/>
      <c r="E19" s="1">
        <v>9940604.7799999993</v>
      </c>
      <c r="F19" s="1">
        <v>7728812.5899999999</v>
      </c>
      <c r="G19" s="1">
        <v>1059856.99</v>
      </c>
    </row>
    <row r="20" spans="2:10" x14ac:dyDescent="0.3">
      <c r="C20" t="s">
        <v>65</v>
      </c>
      <c r="D20" s="1"/>
      <c r="E20" s="1">
        <v>23971551.84</v>
      </c>
      <c r="F20" s="1">
        <v>31802425.449999999</v>
      </c>
      <c r="G20" s="1">
        <v>42835816.689999998</v>
      </c>
    </row>
    <row r="21" spans="2:10" x14ac:dyDescent="0.3">
      <c r="C21" t="s">
        <v>62</v>
      </c>
      <c r="D21" s="1"/>
      <c r="E21" s="1">
        <v>24527270.25</v>
      </c>
      <c r="F21" s="1">
        <v>35769321.68</v>
      </c>
      <c r="G21" s="1">
        <v>45234987.450000003</v>
      </c>
    </row>
    <row r="22" spans="2:10" x14ac:dyDescent="0.3">
      <c r="C22" t="s">
        <v>63</v>
      </c>
      <c r="D22" s="1"/>
      <c r="E22" s="1">
        <f>1809406.12+9288.3+754509.95</f>
        <v>2573204.37</v>
      </c>
      <c r="F22" s="1">
        <f>2316804.49+8127.44+1478365.16</f>
        <v>3803297.09</v>
      </c>
      <c r="G22" s="1">
        <f>3448129.22+4523708.66</f>
        <v>7971837.8800000008</v>
      </c>
    </row>
    <row r="23" spans="2:10" ht="6.75" customHeight="1" x14ac:dyDescent="0.3">
      <c r="D23" s="1"/>
      <c r="E23" s="1"/>
      <c r="F23" s="1"/>
      <c r="G23" s="1"/>
    </row>
    <row r="24" spans="2:10" x14ac:dyDescent="0.3">
      <c r="B24" t="s">
        <v>66</v>
      </c>
      <c r="D24" s="1"/>
      <c r="E24" s="1">
        <f t="shared" ref="E24:G24" si="7">E25-E26</f>
        <v>27453553.780000001</v>
      </c>
      <c r="F24" s="1">
        <f t="shared" si="7"/>
        <v>44140913.969999999</v>
      </c>
      <c r="G24" s="1">
        <f t="shared" si="7"/>
        <v>70311460.909999996</v>
      </c>
    </row>
    <row r="25" spans="2:10" x14ac:dyDescent="0.3">
      <c r="C25" t="s">
        <v>67</v>
      </c>
      <c r="D25" s="1"/>
      <c r="E25" s="1">
        <v>60268369.960000001</v>
      </c>
      <c r="F25" s="1">
        <v>84332084.769999996</v>
      </c>
      <c r="G25" s="1">
        <v>119757277.52</v>
      </c>
    </row>
    <row r="26" spans="2:10" x14ac:dyDescent="0.3">
      <c r="C26" t="s">
        <v>68</v>
      </c>
      <c r="D26" s="5"/>
      <c r="E26" s="1">
        <f>27266056.65+5548759.53</f>
        <v>32814816.18</v>
      </c>
      <c r="F26" s="1">
        <f>33981926.55+6209244.25</f>
        <v>40191170.799999997</v>
      </c>
      <c r="G26" s="1">
        <f>41714811.23+7731005.38</f>
        <v>49445816.609999999</v>
      </c>
      <c r="H26" s="1" t="s">
        <v>0</v>
      </c>
      <c r="J26" s="1"/>
    </row>
    <row r="27" spans="2:10" ht="5.25" customHeight="1" x14ac:dyDescent="0.3">
      <c r="D27" s="1"/>
      <c r="E27" s="1"/>
      <c r="F27" s="1"/>
      <c r="G27" s="1"/>
    </row>
    <row r="28" spans="2:10" x14ac:dyDescent="0.3">
      <c r="B28" t="s">
        <v>0</v>
      </c>
      <c r="C28" s="11" t="s">
        <v>69</v>
      </c>
      <c r="D28" s="1"/>
      <c r="E28" s="1">
        <f t="shared" ref="E28:G28" si="8">E18+E24</f>
        <v>88466185.019999996</v>
      </c>
      <c r="F28" s="1">
        <f t="shared" si="8"/>
        <v>123244770.78</v>
      </c>
      <c r="G28" s="1">
        <f t="shared" si="8"/>
        <v>167413959.91999999</v>
      </c>
      <c r="J28" s="1"/>
    </row>
    <row r="29" spans="2:10" x14ac:dyDescent="0.3">
      <c r="D29" s="1"/>
      <c r="E29" s="1"/>
      <c r="F29" s="1"/>
      <c r="G29" s="1"/>
      <c r="H29" s="1"/>
      <c r="I29" s="1" t="s">
        <v>0</v>
      </c>
    </row>
    <row r="30" spans="2:10" x14ac:dyDescent="0.3">
      <c r="B30" s="1" t="s">
        <v>70</v>
      </c>
      <c r="C30" s="1"/>
      <c r="D30" s="1"/>
      <c r="E30" s="1">
        <f t="shared" ref="E30:G30" si="9">E31+E32</f>
        <v>19650261.039999999</v>
      </c>
      <c r="F30" s="1">
        <f t="shared" si="9"/>
        <v>11174425.73</v>
      </c>
      <c r="G30" s="1">
        <f t="shared" si="9"/>
        <v>26193485.929999996</v>
      </c>
      <c r="H30" s="1"/>
      <c r="J30" s="1"/>
    </row>
    <row r="31" spans="2:10" x14ac:dyDescent="0.3">
      <c r="B31" s="1"/>
      <c r="C31" s="1" t="s">
        <v>73</v>
      </c>
      <c r="D31" s="1"/>
      <c r="E31" s="1">
        <v>203365.99</v>
      </c>
      <c r="F31" s="1">
        <v>25633.53</v>
      </c>
      <c r="G31" s="5">
        <v>25688.03</v>
      </c>
      <c r="H31" s="1"/>
    </row>
    <row r="32" spans="2:10" x14ac:dyDescent="0.3">
      <c r="B32" s="1"/>
      <c r="C32" s="1" t="s">
        <v>76</v>
      </c>
      <c r="D32" s="1"/>
      <c r="E32" s="1">
        <f>12743369.42+6485968.61+1175749.99-1101867.38+143674.41</f>
        <v>19446895.050000001</v>
      </c>
      <c r="F32" s="1">
        <f>8538582.64+1145335.01+1247859.15+217015.4</f>
        <v>11148792.200000001</v>
      </c>
      <c r="G32" s="1">
        <f>21112770.31+1555611.04+1775771.74+223644.81+G13</f>
        <v>26167797.899999995</v>
      </c>
      <c r="H32" s="1"/>
    </row>
    <row r="33" spans="2:8" x14ac:dyDescent="0.3">
      <c r="B33" s="1" t="s">
        <v>71</v>
      </c>
      <c r="C33" s="1"/>
      <c r="D33" s="1"/>
      <c r="E33" s="1">
        <f t="shared" ref="E33:G33" si="10">E34+E35</f>
        <v>31753878.620000001</v>
      </c>
      <c r="F33" s="1">
        <f t="shared" si="10"/>
        <v>54269398.880000003</v>
      </c>
      <c r="G33" s="1">
        <f t="shared" si="10"/>
        <v>60726782.689999998</v>
      </c>
      <c r="H33" s="1"/>
    </row>
    <row r="34" spans="2:8" x14ac:dyDescent="0.3">
      <c r="B34" s="1"/>
      <c r="C34" s="1" t="s">
        <v>74</v>
      </c>
      <c r="D34" s="1"/>
      <c r="E34" s="1">
        <v>31753878.620000001</v>
      </c>
      <c r="F34" s="1">
        <v>54269398.880000003</v>
      </c>
      <c r="G34" s="5">
        <v>60726782.689999998</v>
      </c>
      <c r="H34" s="1"/>
    </row>
    <row r="35" spans="2:8" x14ac:dyDescent="0.3">
      <c r="B35" s="1"/>
      <c r="C35" s="1" t="s">
        <v>75</v>
      </c>
      <c r="D35" s="1"/>
      <c r="E35" s="1">
        <v>0</v>
      </c>
      <c r="F35" s="1">
        <v>0</v>
      </c>
      <c r="G35" s="1"/>
      <c r="H35" s="1"/>
    </row>
    <row r="36" spans="2:8" ht="6" customHeight="1" x14ac:dyDescent="0.3">
      <c r="G36" s="1"/>
      <c r="H36" s="1"/>
    </row>
    <row r="37" spans="2:8" x14ac:dyDescent="0.3">
      <c r="B37" s="1" t="s">
        <v>87</v>
      </c>
      <c r="C37" s="1"/>
      <c r="D37" s="1"/>
      <c r="E37" s="1">
        <f t="shared" ref="E37:G37" si="11">E38+E39</f>
        <v>37062045.359999999</v>
      </c>
      <c r="F37" s="1">
        <f t="shared" si="11"/>
        <v>57800946.170000002</v>
      </c>
      <c r="G37" s="1">
        <f t="shared" si="11"/>
        <v>80493691.299999982</v>
      </c>
      <c r="H37" s="1"/>
    </row>
    <row r="38" spans="2:8" x14ac:dyDescent="0.3">
      <c r="B38" s="1"/>
      <c r="C38" s="1" t="s">
        <v>77</v>
      </c>
      <c r="D38" s="1"/>
      <c r="E38" s="1">
        <f>15000000+3845820.5+958884.72+6449548.88</f>
        <v>26254254.099999998</v>
      </c>
      <c r="F38" s="1">
        <f>36000000+3845820.5+1553825.28+1716950.58</f>
        <v>43116596.359999999</v>
      </c>
      <c r="G38" s="1">
        <f>36000000+16900000+2288042.77+15667082.9</f>
        <v>70855125.670000002</v>
      </c>
      <c r="H38" s="1"/>
    </row>
    <row r="39" spans="2:8" x14ac:dyDescent="0.3">
      <c r="B39" s="1"/>
      <c r="C39" s="1" t="s">
        <v>78</v>
      </c>
      <c r="D39" s="1"/>
      <c r="E39" s="1">
        <f>E14</f>
        <v>10807791.26</v>
      </c>
      <c r="F39" s="1">
        <f>F14</f>
        <v>14684349.810000002</v>
      </c>
      <c r="G39" s="1">
        <f>G14</f>
        <v>9638565.6299999841</v>
      </c>
      <c r="H39" s="1"/>
    </row>
    <row r="40" spans="2:8" x14ac:dyDescent="0.3">
      <c r="B40" s="1" t="s">
        <v>0</v>
      </c>
      <c r="C40" s="11" t="s">
        <v>72</v>
      </c>
      <c r="D40" s="1"/>
      <c r="E40" s="1">
        <f t="shared" ref="E40:G40" si="12">E30+E33+E37</f>
        <v>88466185.019999996</v>
      </c>
      <c r="F40" s="1">
        <f t="shared" si="12"/>
        <v>123244770.78</v>
      </c>
      <c r="G40" s="1">
        <f t="shared" si="12"/>
        <v>167413959.91999996</v>
      </c>
      <c r="H40" s="1"/>
    </row>
    <row r="41" spans="2:8" x14ac:dyDescent="0.3">
      <c r="D41" s="16"/>
      <c r="E41" s="16">
        <f t="shared" ref="E41:G41" si="13">E28-E40</f>
        <v>0</v>
      </c>
      <c r="F41" s="16">
        <f t="shared" si="13"/>
        <v>0</v>
      </c>
      <c r="G41" s="16">
        <f t="shared" si="13"/>
        <v>0</v>
      </c>
      <c r="H41" s="1"/>
    </row>
    <row r="42" spans="2:8" x14ac:dyDescent="0.3">
      <c r="D42" s="1"/>
      <c r="E42" s="1"/>
      <c r="F42" s="1"/>
      <c r="G42" s="1"/>
    </row>
    <row r="43" spans="2:8" ht="18" x14ac:dyDescent="0.35">
      <c r="B43" s="7" t="s">
        <v>79</v>
      </c>
      <c r="D43" s="7" t="s">
        <v>0</v>
      </c>
      <c r="E43" s="7">
        <v>2014</v>
      </c>
      <c r="F43" s="7">
        <v>2015</v>
      </c>
      <c r="G43" s="7">
        <v>2016</v>
      </c>
    </row>
    <row r="44" spans="2:8" x14ac:dyDescent="0.3">
      <c r="B44" t="s">
        <v>80</v>
      </c>
      <c r="D44" s="1"/>
      <c r="E44" s="1"/>
      <c r="F44" s="1">
        <f t="shared" ref="F44:G48" si="14">F18-E18</f>
        <v>18091225.570000008</v>
      </c>
      <c r="G44" s="1">
        <f t="shared" si="14"/>
        <v>17998642.199999988</v>
      </c>
    </row>
    <row r="45" spans="2:8" x14ac:dyDescent="0.3">
      <c r="C45" t="s">
        <v>64</v>
      </c>
      <c r="D45" s="1"/>
      <c r="E45" s="1"/>
      <c r="F45" s="1">
        <f t="shared" si="14"/>
        <v>-2211792.1899999995</v>
      </c>
      <c r="G45" s="1">
        <f t="shared" si="14"/>
        <v>-6668955.5999999996</v>
      </c>
    </row>
    <row r="46" spans="2:8" x14ac:dyDescent="0.3">
      <c r="C46" t="s">
        <v>65</v>
      </c>
      <c r="D46" s="1"/>
      <c r="E46" s="1"/>
      <c r="F46" s="1">
        <f t="shared" si="14"/>
        <v>7830873.6099999994</v>
      </c>
      <c r="G46" s="1">
        <f t="shared" si="14"/>
        <v>11033391.239999998</v>
      </c>
    </row>
    <row r="47" spans="2:8" x14ac:dyDescent="0.3">
      <c r="C47" t="s">
        <v>62</v>
      </c>
      <c r="D47" s="1"/>
      <c r="E47" s="1"/>
      <c r="F47" s="1">
        <f t="shared" si="14"/>
        <v>11242051.43</v>
      </c>
      <c r="G47" s="1">
        <f t="shared" si="14"/>
        <v>9465665.7700000033</v>
      </c>
    </row>
    <row r="48" spans="2:8" x14ac:dyDescent="0.3">
      <c r="C48" t="s">
        <v>63</v>
      </c>
      <c r="D48" s="1"/>
      <c r="E48" s="1"/>
      <c r="F48" s="1">
        <f t="shared" si="14"/>
        <v>1230092.7199999997</v>
      </c>
      <c r="G48" s="1">
        <f t="shared" si="14"/>
        <v>4168540.790000001</v>
      </c>
    </row>
    <row r="49" spans="2:7" x14ac:dyDescent="0.3">
      <c r="D49" s="1"/>
      <c r="E49" s="1"/>
      <c r="F49" s="1"/>
      <c r="G49" s="1"/>
    </row>
    <row r="50" spans="2:7" x14ac:dyDescent="0.3">
      <c r="B50" t="s">
        <v>81</v>
      </c>
      <c r="D50" s="1"/>
      <c r="E50" s="1"/>
      <c r="F50" s="1">
        <f t="shared" ref="F50:G52" si="15">F24-E24</f>
        <v>16687360.189999998</v>
      </c>
      <c r="G50" s="1">
        <f t="shared" si="15"/>
        <v>26170546.939999998</v>
      </c>
    </row>
    <row r="51" spans="2:7" x14ac:dyDescent="0.3">
      <c r="C51" t="s">
        <v>114</v>
      </c>
      <c r="D51" s="1"/>
      <c r="E51" s="1"/>
      <c r="F51" s="1">
        <f t="shared" si="15"/>
        <v>24063714.809999995</v>
      </c>
      <c r="G51" s="1">
        <f t="shared" si="15"/>
        <v>35425192.75</v>
      </c>
    </row>
    <row r="52" spans="2:7" x14ac:dyDescent="0.3">
      <c r="C52" t="s">
        <v>68</v>
      </c>
      <c r="D52" s="1"/>
      <c r="E52" s="1"/>
      <c r="F52" s="1">
        <f t="shared" si="15"/>
        <v>7376354.6199999973</v>
      </c>
      <c r="G52" s="1">
        <f t="shared" si="15"/>
        <v>9254645.8100000024</v>
      </c>
    </row>
    <row r="53" spans="2:7" x14ac:dyDescent="0.3">
      <c r="D53" s="1"/>
      <c r="E53" s="1"/>
      <c r="F53" s="1"/>
      <c r="G53" s="1"/>
    </row>
    <row r="54" spans="2:7" x14ac:dyDescent="0.3">
      <c r="B54" t="s">
        <v>0</v>
      </c>
      <c r="C54" s="11" t="s">
        <v>82</v>
      </c>
      <c r="D54" s="1"/>
      <c r="E54" s="3"/>
      <c r="F54" s="3">
        <f t="shared" ref="F54:G54" si="16">F44+F50</f>
        <v>34778585.760000005</v>
      </c>
      <c r="G54" s="3">
        <f t="shared" si="16"/>
        <v>44169189.139999986</v>
      </c>
    </row>
    <row r="55" spans="2:7" x14ac:dyDescent="0.3">
      <c r="D55" s="1"/>
      <c r="E55" s="1"/>
      <c r="F55" s="1"/>
      <c r="G55" s="1"/>
    </row>
    <row r="56" spans="2:7" x14ac:dyDescent="0.3">
      <c r="B56" s="1" t="s">
        <v>86</v>
      </c>
      <c r="C56" s="1"/>
      <c r="D56" s="1"/>
      <c r="E56" s="1"/>
      <c r="F56" s="1">
        <f t="shared" ref="F56:G61" si="17">F30-E30</f>
        <v>-8475835.3099999987</v>
      </c>
      <c r="G56" s="1">
        <f t="shared" si="17"/>
        <v>15019060.199999996</v>
      </c>
    </row>
    <row r="57" spans="2:7" x14ac:dyDescent="0.3">
      <c r="B57" s="1"/>
      <c r="C57" s="1" t="s">
        <v>73</v>
      </c>
      <c r="D57" s="1"/>
      <c r="E57" s="1"/>
      <c r="F57" s="1">
        <f t="shared" si="17"/>
        <v>-177732.46</v>
      </c>
      <c r="G57" s="1">
        <f t="shared" si="17"/>
        <v>54.5</v>
      </c>
    </row>
    <row r="58" spans="2:7" x14ac:dyDescent="0.3">
      <c r="B58" s="1"/>
      <c r="C58" s="1" t="s">
        <v>76</v>
      </c>
      <c r="D58" s="1"/>
      <c r="E58" s="1"/>
      <c r="F58" s="1">
        <f t="shared" si="17"/>
        <v>-8298102.8499999996</v>
      </c>
      <c r="G58" s="1">
        <f t="shared" si="17"/>
        <v>15019005.699999994</v>
      </c>
    </row>
    <row r="59" spans="2:7" x14ac:dyDescent="0.3">
      <c r="B59" s="1" t="s">
        <v>84</v>
      </c>
      <c r="C59" s="1"/>
      <c r="D59" s="1"/>
      <c r="E59" s="1"/>
      <c r="F59" s="1">
        <f t="shared" si="17"/>
        <v>22515520.260000002</v>
      </c>
      <c r="G59" s="1">
        <f t="shared" si="17"/>
        <v>6457383.8099999949</v>
      </c>
    </row>
    <row r="60" spans="2:7" x14ac:dyDescent="0.3">
      <c r="B60" s="1"/>
      <c r="C60" s="1" t="s">
        <v>74</v>
      </c>
      <c r="D60" s="1"/>
      <c r="E60" s="1"/>
      <c r="F60" s="1">
        <f t="shared" si="17"/>
        <v>22515520.260000002</v>
      </c>
      <c r="G60" s="1">
        <f t="shared" si="17"/>
        <v>6457383.8099999949</v>
      </c>
    </row>
    <row r="61" spans="2:7" x14ac:dyDescent="0.3">
      <c r="B61" s="1"/>
      <c r="C61" s="1" t="s">
        <v>75</v>
      </c>
      <c r="D61" s="1"/>
      <c r="E61" s="1"/>
      <c r="F61" s="1">
        <f t="shared" si="17"/>
        <v>0</v>
      </c>
      <c r="G61" s="1">
        <f t="shared" si="17"/>
        <v>0</v>
      </c>
    </row>
    <row r="62" spans="2:7" x14ac:dyDescent="0.3">
      <c r="D62" s="1"/>
      <c r="E62" s="1"/>
      <c r="F62" s="1" t="s">
        <v>0</v>
      </c>
      <c r="G62" s="1" t="s">
        <v>0</v>
      </c>
    </row>
    <row r="63" spans="2:7" x14ac:dyDescent="0.3">
      <c r="B63" s="1" t="s">
        <v>85</v>
      </c>
      <c r="C63" s="1"/>
      <c r="D63" s="1"/>
      <c r="E63" s="1"/>
      <c r="F63" s="1">
        <f t="shared" ref="F63:G65" si="18">F37-E37</f>
        <v>20738900.810000002</v>
      </c>
      <c r="G63" s="1">
        <f t="shared" si="18"/>
        <v>22692745.12999998</v>
      </c>
    </row>
    <row r="64" spans="2:7" x14ac:dyDescent="0.3">
      <c r="B64" s="1"/>
      <c r="C64" s="1" t="s">
        <v>77</v>
      </c>
      <c r="D64" s="1"/>
      <c r="E64" s="1"/>
      <c r="F64" s="1">
        <f t="shared" si="18"/>
        <v>16862342.260000002</v>
      </c>
      <c r="G64" s="1">
        <f t="shared" si="18"/>
        <v>27738529.310000002</v>
      </c>
    </row>
    <row r="65" spans="2:8" x14ac:dyDescent="0.3">
      <c r="B65" s="1"/>
      <c r="C65" s="1" t="s">
        <v>78</v>
      </c>
      <c r="D65" s="1"/>
      <c r="E65" s="1"/>
      <c r="F65" s="1">
        <f t="shared" si="18"/>
        <v>3876558.5500000026</v>
      </c>
      <c r="G65" s="1">
        <f t="shared" si="18"/>
        <v>-5045784.1800000183</v>
      </c>
    </row>
    <row r="66" spans="2:8" x14ac:dyDescent="0.3">
      <c r="B66" s="1" t="s">
        <v>0</v>
      </c>
      <c r="C66" s="11" t="s">
        <v>83</v>
      </c>
      <c r="D66" s="1"/>
      <c r="E66" s="3"/>
      <c r="F66" s="3">
        <f t="shared" ref="F66:G66" si="19">F56+F59+F63</f>
        <v>34778585.760000005</v>
      </c>
      <c r="G66" s="3">
        <f t="shared" si="19"/>
        <v>44169189.139999971</v>
      </c>
    </row>
    <row r="67" spans="2:8" x14ac:dyDescent="0.3">
      <c r="B67" s="1"/>
      <c r="C67" s="6"/>
      <c r="D67" s="1"/>
      <c r="E67" s="1"/>
      <c r="F67" s="1"/>
      <c r="G67" s="1"/>
    </row>
    <row r="68" spans="2:8" x14ac:dyDescent="0.3">
      <c r="D68" s="1"/>
      <c r="E68" s="1"/>
      <c r="F68" s="1"/>
      <c r="G68" s="1"/>
    </row>
    <row r="69" spans="2:8" ht="18" x14ac:dyDescent="0.35">
      <c r="B69" s="7" t="s">
        <v>88</v>
      </c>
      <c r="D69" s="7"/>
      <c r="E69" s="7"/>
      <c r="F69" s="7">
        <v>2015</v>
      </c>
      <c r="G69" s="7">
        <v>2016</v>
      </c>
    </row>
    <row r="70" spans="2:8" x14ac:dyDescent="0.3">
      <c r="B70" t="s">
        <v>80</v>
      </c>
      <c r="D70" s="1"/>
      <c r="E70" s="1"/>
      <c r="F70" s="1">
        <f t="shared" ref="F70:G70" si="20">SUM(F71:F74)</f>
        <v>18091225.57</v>
      </c>
      <c r="G70" s="1">
        <f t="shared" si="20"/>
        <v>17998642.200000003</v>
      </c>
    </row>
    <row r="71" spans="2:8" x14ac:dyDescent="0.3">
      <c r="C71" t="s">
        <v>64</v>
      </c>
      <c r="D71" s="1"/>
      <c r="E71" s="1"/>
      <c r="F71" s="1">
        <f t="shared" ref="F71:G74" si="21">F45</f>
        <v>-2211792.1899999995</v>
      </c>
      <c r="G71" s="1">
        <f t="shared" si="21"/>
        <v>-6668955.5999999996</v>
      </c>
    </row>
    <row r="72" spans="2:8" x14ac:dyDescent="0.3">
      <c r="C72" t="s">
        <v>65</v>
      </c>
      <c r="D72" s="1"/>
      <c r="E72" s="1"/>
      <c r="F72" s="1">
        <f t="shared" si="21"/>
        <v>7830873.6099999994</v>
      </c>
      <c r="G72" s="1">
        <f t="shared" si="21"/>
        <v>11033391.239999998</v>
      </c>
    </row>
    <row r="73" spans="2:8" x14ac:dyDescent="0.3">
      <c r="C73" t="s">
        <v>62</v>
      </c>
      <c r="D73" s="1"/>
      <c r="E73" s="1"/>
      <c r="F73" s="1">
        <f t="shared" si="21"/>
        <v>11242051.43</v>
      </c>
      <c r="G73" s="1">
        <f t="shared" si="21"/>
        <v>9465665.7700000033</v>
      </c>
    </row>
    <row r="74" spans="2:8" x14ac:dyDescent="0.3">
      <c r="C74" t="s">
        <v>63</v>
      </c>
      <c r="D74" s="1"/>
      <c r="E74" s="1"/>
      <c r="F74" s="1">
        <f t="shared" si="21"/>
        <v>1230092.7199999997</v>
      </c>
      <c r="G74" s="1">
        <f t="shared" si="21"/>
        <v>4168540.790000001</v>
      </c>
    </row>
    <row r="75" spans="2:8" x14ac:dyDescent="0.3">
      <c r="D75" s="1"/>
      <c r="E75" s="1"/>
      <c r="F75" s="1" t="s">
        <v>0</v>
      </c>
      <c r="G75" s="1" t="s">
        <v>0</v>
      </c>
    </row>
    <row r="76" spans="2:8" x14ac:dyDescent="0.3">
      <c r="B76" t="s">
        <v>81</v>
      </c>
      <c r="D76" s="5"/>
      <c r="E76" s="5"/>
      <c r="F76" s="5">
        <f>F51</f>
        <v>24063714.809999995</v>
      </c>
      <c r="G76" s="5">
        <f>G51</f>
        <v>35425192.75</v>
      </c>
      <c r="H76" s="19"/>
    </row>
    <row r="77" spans="2:8" x14ac:dyDescent="0.3">
      <c r="B77" s="19"/>
      <c r="C77" s="19"/>
      <c r="D77" s="5"/>
      <c r="E77" s="5"/>
      <c r="F77" s="5" t="s">
        <v>0</v>
      </c>
      <c r="G77" s="5" t="s">
        <v>0</v>
      </c>
      <c r="H77" s="19"/>
    </row>
    <row r="78" spans="2:8" x14ac:dyDescent="0.3">
      <c r="B78" s="19" t="s">
        <v>0</v>
      </c>
      <c r="C78" s="20" t="s">
        <v>89</v>
      </c>
      <c r="D78" s="5"/>
      <c r="E78" s="12"/>
      <c r="F78" s="12">
        <f t="shared" ref="F78:G78" si="22">F70+F76</f>
        <v>42154940.379999995</v>
      </c>
      <c r="G78" s="12">
        <f t="shared" si="22"/>
        <v>53423834.950000003</v>
      </c>
      <c r="H78" s="19"/>
    </row>
    <row r="79" spans="2:8" x14ac:dyDescent="0.3">
      <c r="B79" s="19"/>
      <c r="C79" s="19"/>
      <c r="D79" s="5"/>
      <c r="E79" s="5"/>
      <c r="F79" s="5" t="s">
        <v>0</v>
      </c>
      <c r="G79" s="5" t="s">
        <v>0</v>
      </c>
      <c r="H79" s="19"/>
    </row>
    <row r="80" spans="2:8" x14ac:dyDescent="0.3">
      <c r="B80" s="1" t="s">
        <v>86</v>
      </c>
      <c r="C80" s="1"/>
      <c r="D80" s="5"/>
      <c r="E80" s="5"/>
      <c r="F80" s="5">
        <f t="shared" ref="F80:G89" si="23">F56</f>
        <v>-8475835.3099999987</v>
      </c>
      <c r="G80" s="5">
        <f t="shared" si="23"/>
        <v>15019060.199999996</v>
      </c>
      <c r="H80" s="19"/>
    </row>
    <row r="81" spans="2:8" x14ac:dyDescent="0.3">
      <c r="B81" s="1"/>
      <c r="C81" s="1" t="s">
        <v>73</v>
      </c>
      <c r="D81" s="5"/>
      <c r="E81" s="5"/>
      <c r="F81" s="5">
        <f t="shared" si="23"/>
        <v>-177732.46</v>
      </c>
      <c r="G81" s="5">
        <f t="shared" si="23"/>
        <v>54.5</v>
      </c>
      <c r="H81" s="19"/>
    </row>
    <row r="82" spans="2:8" x14ac:dyDescent="0.3">
      <c r="B82" s="1"/>
      <c r="C82" s="1" t="s">
        <v>76</v>
      </c>
      <c r="D82" s="5"/>
      <c r="E82" s="5"/>
      <c r="F82" s="5">
        <f t="shared" si="23"/>
        <v>-8298102.8499999996</v>
      </c>
      <c r="G82" s="5">
        <f t="shared" si="23"/>
        <v>15019005.699999994</v>
      </c>
      <c r="H82" s="19"/>
    </row>
    <row r="83" spans="2:8" x14ac:dyDescent="0.3">
      <c r="B83" s="1" t="s">
        <v>84</v>
      </c>
      <c r="C83" s="1"/>
      <c r="D83" s="5"/>
      <c r="E83" s="5"/>
      <c r="F83" s="5">
        <f t="shared" si="23"/>
        <v>22515520.260000002</v>
      </c>
      <c r="G83" s="5">
        <f t="shared" si="23"/>
        <v>6457383.8099999949</v>
      </c>
      <c r="H83" s="19"/>
    </row>
    <row r="84" spans="2:8" x14ac:dyDescent="0.3">
      <c r="B84" s="1"/>
      <c r="C84" s="1" t="s">
        <v>74</v>
      </c>
      <c r="D84" s="5"/>
      <c r="E84" s="5"/>
      <c r="F84" s="5">
        <f t="shared" si="23"/>
        <v>22515520.260000002</v>
      </c>
      <c r="G84" s="5">
        <f t="shared" si="23"/>
        <v>6457383.8099999949</v>
      </c>
      <c r="H84" s="19"/>
    </row>
    <row r="85" spans="2:8" x14ac:dyDescent="0.3">
      <c r="B85" s="1"/>
      <c r="C85" s="1" t="s">
        <v>75</v>
      </c>
      <c r="D85" s="5"/>
      <c r="E85" s="5"/>
      <c r="F85" s="5">
        <f t="shared" si="23"/>
        <v>0</v>
      </c>
      <c r="G85" s="5">
        <f t="shared" si="23"/>
        <v>0</v>
      </c>
      <c r="H85" s="19"/>
    </row>
    <row r="86" spans="2:8" x14ac:dyDescent="0.3">
      <c r="D86" s="5"/>
      <c r="E86" s="5"/>
      <c r="F86" s="5" t="str">
        <f t="shared" si="23"/>
        <v xml:space="preserve"> </v>
      </c>
      <c r="G86" s="5" t="str">
        <f t="shared" si="23"/>
        <v xml:space="preserve"> </v>
      </c>
      <c r="H86" s="19"/>
    </row>
    <row r="87" spans="2:8" x14ac:dyDescent="0.3">
      <c r="B87" s="1" t="s">
        <v>85</v>
      </c>
      <c r="C87" s="1"/>
      <c r="D87" s="5"/>
      <c r="E87" s="5"/>
      <c r="F87" s="5">
        <f t="shared" si="23"/>
        <v>20738900.810000002</v>
      </c>
      <c r="G87" s="5">
        <f t="shared" si="23"/>
        <v>22692745.12999998</v>
      </c>
      <c r="H87" s="19"/>
    </row>
    <row r="88" spans="2:8" x14ac:dyDescent="0.3">
      <c r="B88" s="1"/>
      <c r="C88" s="1" t="s">
        <v>77</v>
      </c>
      <c r="D88" s="5"/>
      <c r="E88" s="5"/>
      <c r="F88" s="5">
        <f t="shared" si="23"/>
        <v>16862342.260000002</v>
      </c>
      <c r="G88" s="5">
        <f t="shared" si="23"/>
        <v>27738529.310000002</v>
      </c>
      <c r="H88" s="19"/>
    </row>
    <row r="89" spans="2:8" x14ac:dyDescent="0.3">
      <c r="B89" s="1"/>
      <c r="C89" s="1" t="s">
        <v>78</v>
      </c>
      <c r="D89" s="5"/>
      <c r="E89" s="5"/>
      <c r="F89" s="5">
        <f t="shared" si="23"/>
        <v>3876558.5500000026</v>
      </c>
      <c r="G89" s="5">
        <f t="shared" si="23"/>
        <v>-5045784.1800000183</v>
      </c>
      <c r="H89" s="19"/>
    </row>
    <row r="90" spans="2:8" x14ac:dyDescent="0.3">
      <c r="B90" s="1" t="s">
        <v>0</v>
      </c>
      <c r="C90" s="11" t="s">
        <v>0</v>
      </c>
      <c r="D90" s="5"/>
      <c r="E90" s="5"/>
      <c r="F90" s="5"/>
      <c r="G90" s="5"/>
      <c r="H90" s="19"/>
    </row>
    <row r="91" spans="2:8" x14ac:dyDescent="0.3">
      <c r="B91" s="5" t="s">
        <v>57</v>
      </c>
      <c r="C91" s="5"/>
      <c r="D91" s="5"/>
      <c r="E91" s="5"/>
      <c r="F91" s="5">
        <f t="shared" ref="F91:G91" si="24">F52</f>
        <v>7376354.6199999973</v>
      </c>
      <c r="G91" s="5">
        <f t="shared" si="24"/>
        <v>9254645.8100000024</v>
      </c>
      <c r="H91" s="19"/>
    </row>
    <row r="92" spans="2:8" x14ac:dyDescent="0.3">
      <c r="B92" s="1"/>
      <c r="C92" s="1"/>
      <c r="D92" s="1"/>
      <c r="E92" s="1"/>
      <c r="F92" s="1"/>
      <c r="G92" s="1"/>
    </row>
    <row r="93" spans="2:8" x14ac:dyDescent="0.3">
      <c r="B93" s="1" t="s">
        <v>0</v>
      </c>
      <c r="C93" s="11" t="s">
        <v>90</v>
      </c>
      <c r="D93" s="1"/>
      <c r="E93" s="3"/>
      <c r="F93" s="3">
        <f t="shared" ref="F93:G93" si="25">F80+F83+F87+F91</f>
        <v>42154940.380000003</v>
      </c>
      <c r="G93" s="3">
        <f t="shared" si="25"/>
        <v>53423834.949999973</v>
      </c>
    </row>
    <row r="94" spans="2:8" x14ac:dyDescent="0.3">
      <c r="D94" s="1"/>
      <c r="E94" s="1"/>
      <c r="F94" s="1"/>
      <c r="G94" s="1"/>
    </row>
    <row r="95" spans="2:8" x14ac:dyDescent="0.3">
      <c r="B95" s="1"/>
      <c r="C95" s="1"/>
      <c r="E95" s="1"/>
      <c r="F95" s="1"/>
      <c r="G95" s="1"/>
    </row>
    <row r="96" spans="2:8" ht="18" x14ac:dyDescent="0.35">
      <c r="B96" s="21" t="s">
        <v>91</v>
      </c>
      <c r="C96" s="19"/>
      <c r="D96" s="7"/>
      <c r="E96" s="7"/>
      <c r="F96" s="7">
        <v>2015</v>
      </c>
      <c r="G96" s="7">
        <v>2016</v>
      </c>
    </row>
    <row r="97" spans="2:7" x14ac:dyDescent="0.3">
      <c r="B97" s="1" t="s">
        <v>92</v>
      </c>
      <c r="C97" s="1"/>
      <c r="E97" s="3"/>
      <c r="F97" s="3">
        <f t="shared" ref="F97:G97" si="26">F98+F99</f>
        <v>22060704.43</v>
      </c>
      <c r="G97" s="3">
        <f t="shared" si="26"/>
        <v>18893211.439999986</v>
      </c>
    </row>
    <row r="98" spans="2:7" x14ac:dyDescent="0.3">
      <c r="B98" s="1"/>
      <c r="C98" s="1" t="s">
        <v>78</v>
      </c>
      <c r="E98" s="5"/>
      <c r="F98" s="1">
        <f>F14</f>
        <v>14684349.810000002</v>
      </c>
      <c r="G98" s="1">
        <f>G14</f>
        <v>9638565.6299999841</v>
      </c>
    </row>
    <row r="99" spans="2:7" x14ac:dyDescent="0.3">
      <c r="B99" s="1"/>
      <c r="C99" s="1" t="s">
        <v>93</v>
      </c>
      <c r="E99" s="5"/>
      <c r="F99" s="1">
        <f>F10</f>
        <v>7376354.6199999973</v>
      </c>
      <c r="G99" s="1">
        <f>G10</f>
        <v>9254645.8100000024</v>
      </c>
    </row>
    <row r="100" spans="2:7" x14ac:dyDescent="0.3">
      <c r="B100" s="1" t="s">
        <v>94</v>
      </c>
      <c r="C100" s="1"/>
      <c r="E100" s="5"/>
      <c r="F100" s="1">
        <f>F88-E14</f>
        <v>6054551.0000000019</v>
      </c>
      <c r="G100" s="1">
        <f>G88-F14</f>
        <v>13054179.5</v>
      </c>
    </row>
    <row r="101" spans="2:7" x14ac:dyDescent="0.3">
      <c r="B101" s="1" t="s">
        <v>84</v>
      </c>
      <c r="C101" s="1"/>
      <c r="E101" s="5"/>
      <c r="F101" s="1">
        <f t="shared" ref="F101:G101" si="27">F83</f>
        <v>22515520.260000002</v>
      </c>
      <c r="G101" s="1">
        <f t="shared" si="27"/>
        <v>6457383.8099999949</v>
      </c>
    </row>
    <row r="102" spans="2:7" x14ac:dyDescent="0.3">
      <c r="B102" s="1"/>
      <c r="C102" s="11" t="s">
        <v>90</v>
      </c>
      <c r="E102" s="12"/>
      <c r="F102" s="3">
        <f t="shared" ref="F102:G102" si="28">SUM(F98:F101)</f>
        <v>50630775.689999998</v>
      </c>
      <c r="G102" s="3">
        <f t="shared" si="28"/>
        <v>38404774.749999985</v>
      </c>
    </row>
    <row r="103" spans="2:7" ht="6.75" customHeight="1" x14ac:dyDescent="0.3">
      <c r="B103" s="1"/>
      <c r="C103" s="1"/>
      <c r="E103" s="5"/>
      <c r="F103" s="1"/>
      <c r="G103" s="1"/>
    </row>
    <row r="104" spans="2:7" x14ac:dyDescent="0.3">
      <c r="B104" s="23" t="s">
        <v>97</v>
      </c>
      <c r="C104" s="23"/>
      <c r="E104" s="5"/>
      <c r="F104" s="1">
        <f t="shared" ref="F104:G104" si="29">F70-F80</f>
        <v>26567060.879999999</v>
      </c>
      <c r="G104" s="1">
        <f t="shared" si="29"/>
        <v>2979582.0000000075</v>
      </c>
    </row>
    <row r="105" spans="2:7" x14ac:dyDescent="0.3">
      <c r="B105" s="1" t="s">
        <v>112</v>
      </c>
      <c r="C105" s="1"/>
      <c r="E105" s="5"/>
      <c r="F105" s="1">
        <f t="shared" ref="F105:G105" si="30">F76</f>
        <v>24063714.809999995</v>
      </c>
      <c r="G105" s="1">
        <f t="shared" si="30"/>
        <v>35425192.75</v>
      </c>
    </row>
    <row r="106" spans="2:7" x14ac:dyDescent="0.3">
      <c r="B106" s="1"/>
      <c r="C106" s="9" t="s">
        <v>89</v>
      </c>
      <c r="E106" s="12"/>
      <c r="F106" s="3">
        <f>F104+F105</f>
        <v>50630775.689999998</v>
      </c>
      <c r="G106" s="3">
        <f>G104+G105</f>
        <v>38404774.750000007</v>
      </c>
    </row>
    <row r="107" spans="2:7" x14ac:dyDescent="0.3">
      <c r="B107" s="1"/>
      <c r="C107" s="9"/>
      <c r="E107" s="5"/>
      <c r="F107" s="1"/>
      <c r="G107" s="1"/>
    </row>
    <row r="108" spans="2:7" x14ac:dyDescent="0.3">
      <c r="B108" s="1"/>
      <c r="C108" s="9"/>
      <c r="E108" s="15"/>
      <c r="F108" s="1"/>
      <c r="G108" s="1"/>
    </row>
    <row r="109" spans="2:7" x14ac:dyDescent="0.3">
      <c r="B109" s="1" t="s">
        <v>95</v>
      </c>
      <c r="C109" s="22" t="s">
        <v>96</v>
      </c>
      <c r="E109" s="1"/>
      <c r="F109" s="1"/>
      <c r="G109" s="1"/>
    </row>
    <row r="110" spans="2:7" x14ac:dyDescent="0.3">
      <c r="B110" s="1" t="s">
        <v>113</v>
      </c>
      <c r="C110" s="22"/>
      <c r="E110" s="1"/>
      <c r="F110" s="1"/>
      <c r="G110" s="1"/>
    </row>
    <row r="111" spans="2:7" x14ac:dyDescent="0.3">
      <c r="B111" s="1"/>
      <c r="C111" s="22"/>
      <c r="E111" s="1"/>
      <c r="F111" s="1"/>
      <c r="G111" s="1"/>
    </row>
    <row r="112" spans="2:7" x14ac:dyDescent="0.3">
      <c r="B112" s="1"/>
      <c r="C112" s="1"/>
      <c r="E112" s="1"/>
      <c r="F112" s="1"/>
      <c r="G112" s="1"/>
    </row>
    <row r="113" spans="2:7" ht="18" x14ac:dyDescent="0.35">
      <c r="B113" s="10" t="s">
        <v>98</v>
      </c>
      <c r="C113" s="1"/>
      <c r="D113" s="2" t="s">
        <v>103</v>
      </c>
      <c r="E113" s="7">
        <v>2014</v>
      </c>
      <c r="F113" s="7">
        <v>2015</v>
      </c>
      <c r="G113" s="7">
        <v>2016</v>
      </c>
    </row>
    <row r="114" spans="2:7" x14ac:dyDescent="0.3">
      <c r="B114" s="1" t="s">
        <v>99</v>
      </c>
      <c r="C114" s="1"/>
      <c r="D114" s="24" t="s">
        <v>102</v>
      </c>
      <c r="E114" s="4">
        <f>E18/E30</f>
        <v>3.1049272636023972</v>
      </c>
      <c r="F114" s="4">
        <f t="shared" ref="F114:G114" si="31">F18/F30</f>
        <v>7.0790086865609334</v>
      </c>
      <c r="G114" s="4">
        <f t="shared" si="31"/>
        <v>3.7071239494238637</v>
      </c>
    </row>
    <row r="115" spans="2:7" x14ac:dyDescent="0.3">
      <c r="B115" s="1" t="s">
        <v>100</v>
      </c>
      <c r="D115" s="25" t="s">
        <v>104</v>
      </c>
      <c r="E115" s="1">
        <f>(E20/E3)*360</f>
        <v>79.944853146571859</v>
      </c>
      <c r="F115" s="1">
        <f t="shared" ref="F115:G115" si="32">(F20/F3)*360</f>
        <v>86.884923101805114</v>
      </c>
      <c r="G115" s="1">
        <f t="shared" si="32"/>
        <v>97.653161662073799</v>
      </c>
    </row>
    <row r="116" spans="2:7" x14ac:dyDescent="0.3">
      <c r="B116" s="1" t="s">
        <v>101</v>
      </c>
      <c r="D116" s="25" t="s">
        <v>104</v>
      </c>
      <c r="E116" s="1">
        <f>(E21/E4)*360</f>
        <v>101.47437008674996</v>
      </c>
      <c r="F116" s="1">
        <f t="shared" ref="F116:G116" si="33">(F21/F4)*360</f>
        <v>121.86893804637232</v>
      </c>
      <c r="G116" s="1">
        <f t="shared" si="33"/>
        <v>126.08554503414494</v>
      </c>
    </row>
    <row r="117" spans="2:7" x14ac:dyDescent="0.3">
      <c r="B117" s="1" t="s">
        <v>105</v>
      </c>
      <c r="D117" s="24" t="s">
        <v>102</v>
      </c>
      <c r="E117" s="4">
        <f>E31/E3</f>
        <v>1.8839535196266673E-3</v>
      </c>
      <c r="F117" s="4">
        <f t="shared" ref="F117:G117" si="34">F31/F3</f>
        <v>1.945315710431673E-4</v>
      </c>
      <c r="G117" s="4">
        <f t="shared" si="34"/>
        <v>1.6267003359233086E-4</v>
      </c>
    </row>
    <row r="118" spans="2:7" x14ac:dyDescent="0.3">
      <c r="B118" s="1" t="s">
        <v>130</v>
      </c>
      <c r="D118" s="24" t="s">
        <v>102</v>
      </c>
      <c r="E118" s="4">
        <f>(E31+E34)/E37</f>
        <v>0.86226338291870241</v>
      </c>
      <c r="F118" s="4">
        <f t="shared" ref="F118:G118" si="35">(F31+F34)/F37</f>
        <v>0.93934504549997067</v>
      </c>
      <c r="G118" s="4">
        <f t="shared" si="35"/>
        <v>0.75474822608862036</v>
      </c>
    </row>
    <row r="119" spans="2:7" x14ac:dyDescent="0.3">
      <c r="B119" s="1" t="s">
        <v>106</v>
      </c>
      <c r="D119" s="26" t="s">
        <v>102</v>
      </c>
      <c r="E119" s="4" t="s">
        <v>0</v>
      </c>
      <c r="F119" s="4">
        <f>(F136/E136)/(F131/E131)</f>
        <v>0.69470107791777191</v>
      </c>
      <c r="G119" s="4">
        <f>(G136/F136)/(G131/F131)</f>
        <v>1.3262572949015952</v>
      </c>
    </row>
    <row r="120" spans="2:7" x14ac:dyDescent="0.3">
      <c r="B120" s="1" t="s">
        <v>107</v>
      </c>
      <c r="D120" s="26" t="s">
        <v>102</v>
      </c>
      <c r="E120" s="4"/>
      <c r="F120" s="4">
        <f>F14/E37</f>
        <v>0.39620991414166257</v>
      </c>
      <c r="G120" s="4">
        <f>G14/F37</f>
        <v>0.16675446110608164</v>
      </c>
    </row>
    <row r="121" spans="2:7" ht="14.25" customHeight="1" x14ac:dyDescent="0.3">
      <c r="B121" s="1" t="s">
        <v>108</v>
      </c>
      <c r="D121" s="26"/>
      <c r="E121" s="4"/>
      <c r="F121" s="4">
        <f>(F9*(1-0.2))/(E31+E34+E37)</f>
        <v>0.30080911908865299</v>
      </c>
      <c r="G121" s="4">
        <f>(G9*(1-0.2))/(F31+F34+F37)</f>
        <v>9.166453799827283E-2</v>
      </c>
    </row>
    <row r="122" spans="2:7" ht="14.25" customHeight="1" x14ac:dyDescent="0.3">
      <c r="B122" s="1"/>
      <c r="D122" s="26"/>
      <c r="E122" s="4"/>
      <c r="F122" s="4"/>
      <c r="G122" s="4"/>
    </row>
    <row r="123" spans="2:7" ht="6.75" customHeight="1" x14ac:dyDescent="0.3">
      <c r="D123" s="24"/>
      <c r="E123" s="4"/>
      <c r="F123" s="4"/>
      <c r="G123" s="4"/>
    </row>
    <row r="124" spans="2:7" x14ac:dyDescent="0.3">
      <c r="B124" s="2" t="s">
        <v>109</v>
      </c>
      <c r="D124" s="24"/>
      <c r="E124" s="4"/>
      <c r="F124" s="4"/>
      <c r="G124" s="4"/>
    </row>
    <row r="125" spans="2:7" x14ac:dyDescent="0.3">
      <c r="B125" t="s">
        <v>51</v>
      </c>
      <c r="D125" s="26" t="s">
        <v>102</v>
      </c>
      <c r="E125" s="4">
        <v>1</v>
      </c>
      <c r="F125" s="4">
        <v>1</v>
      </c>
      <c r="G125" s="4">
        <v>1</v>
      </c>
    </row>
    <row r="126" spans="2:7" x14ac:dyDescent="0.3">
      <c r="B126" t="s">
        <v>52</v>
      </c>
      <c r="D126" s="26" t="s">
        <v>102</v>
      </c>
      <c r="E126" s="4">
        <f>E4/E3</f>
        <v>0.80609682684225503</v>
      </c>
      <c r="F126" s="4">
        <f t="shared" ref="F126:G126" si="36">F4/F3</f>
        <v>0.80186610371003653</v>
      </c>
      <c r="G126" s="4">
        <f t="shared" si="36"/>
        <v>0.81787782127223452</v>
      </c>
    </row>
    <row r="127" spans="2:7" x14ac:dyDescent="0.3">
      <c r="B127" t="s">
        <v>53</v>
      </c>
      <c r="D127" s="26" t="s">
        <v>102</v>
      </c>
      <c r="E127" s="4">
        <f t="shared" ref="E127:G127" si="37">E5/E3</f>
        <v>0.19390317315774491</v>
      </c>
      <c r="F127" s="18">
        <f t="shared" si="37"/>
        <v>0.19813389628996342</v>
      </c>
      <c r="G127" s="4">
        <f t="shared" si="37"/>
        <v>0.18212217872776548</v>
      </c>
    </row>
    <row r="128" spans="2:7" x14ac:dyDescent="0.3">
      <c r="B128" t="s">
        <v>54</v>
      </c>
      <c r="D128" s="26" t="s">
        <v>102</v>
      </c>
      <c r="E128" s="4">
        <f t="shared" ref="E128:G128" si="38">E6/E3</f>
        <v>7.4660359536391663E-2</v>
      </c>
      <c r="F128" s="4">
        <f t="shared" si="38"/>
        <v>7.5353102547023071E-2</v>
      </c>
      <c r="G128" s="4">
        <f t="shared" si="38"/>
        <v>9.5508654753028596E-2</v>
      </c>
    </row>
    <row r="129" spans="2:7" x14ac:dyDescent="0.3">
      <c r="B129" t="s">
        <v>55</v>
      </c>
      <c r="D129" s="26" t="s">
        <v>102</v>
      </c>
      <c r="E129" s="4">
        <f t="shared" ref="E129:G129" si="39">E7/E3</f>
        <v>0.11924281362135328</v>
      </c>
      <c r="F129" s="4">
        <f t="shared" si="39"/>
        <v>0.12278079374294035</v>
      </c>
      <c r="G129" s="4">
        <f t="shared" si="39"/>
        <v>8.66135239747369E-2</v>
      </c>
    </row>
    <row r="130" spans="2:7" x14ac:dyDescent="0.3">
      <c r="B130" t="s">
        <v>56</v>
      </c>
      <c r="D130" s="26" t="s">
        <v>102</v>
      </c>
      <c r="E130" s="4">
        <f t="shared" ref="E130:G130" si="40">E8/E3</f>
        <v>3.6831314426657366E-3</v>
      </c>
      <c r="F130" s="4">
        <f t="shared" si="40"/>
        <v>7.4167931939119788E-2</v>
      </c>
      <c r="G130" s="4">
        <f t="shared" si="40"/>
        <v>-5.2783956628464765E-3</v>
      </c>
    </row>
    <row r="131" spans="2:7" x14ac:dyDescent="0.3">
      <c r="B131" t="s">
        <v>2</v>
      </c>
      <c r="D131" s="26" t="s">
        <v>102</v>
      </c>
      <c r="E131" s="4">
        <f t="shared" ref="E131:G131" si="41">E9/E3</f>
        <v>0.12292594506401901</v>
      </c>
      <c r="F131" s="4">
        <f t="shared" si="41"/>
        <v>0.19694872568206015</v>
      </c>
      <c r="G131" s="4">
        <f t="shared" si="41"/>
        <v>8.1335128311890423E-2</v>
      </c>
    </row>
    <row r="132" spans="2:7" x14ac:dyDescent="0.3">
      <c r="B132" t="s">
        <v>57</v>
      </c>
      <c r="D132" s="26" t="s">
        <v>102</v>
      </c>
      <c r="E132" s="4">
        <f t="shared" ref="E132:G132" si="42">E10/E3</f>
        <v>6.5742899775504487E-2</v>
      </c>
      <c r="F132" s="4">
        <f t="shared" si="42"/>
        <v>5.5978784537288655E-2</v>
      </c>
      <c r="G132" s="4">
        <f t="shared" si="42"/>
        <v>5.8605254852077966E-2</v>
      </c>
    </row>
    <row r="133" spans="2:7" x14ac:dyDescent="0.3">
      <c r="B133" t="s">
        <v>1</v>
      </c>
      <c r="D133" s="26" t="s">
        <v>102</v>
      </c>
      <c r="E133" s="4">
        <f t="shared" ref="E133:G133" si="43">E11/E3</f>
        <v>0.18866884483952351</v>
      </c>
      <c r="F133" s="4">
        <f t="shared" si="43"/>
        <v>0.25292751021934878</v>
      </c>
      <c r="G133" s="4">
        <f t="shared" si="43"/>
        <v>0.1399403831639684</v>
      </c>
    </row>
    <row r="134" spans="2:7" x14ac:dyDescent="0.3">
      <c r="B134" t="s">
        <v>58</v>
      </c>
      <c r="D134" s="26" t="s">
        <v>102</v>
      </c>
      <c r="E134" s="4">
        <f>E12/E3</f>
        <v>1.2364379608907175E-2</v>
      </c>
      <c r="F134" s="4">
        <f t="shared" ref="F134:G134" si="44">F12/F3</f>
        <v>7.4265808824819868E-2</v>
      </c>
      <c r="G134" s="4">
        <f t="shared" si="44"/>
        <v>1.0799908398083117E-2</v>
      </c>
    </row>
    <row r="135" spans="2:7" x14ac:dyDescent="0.3">
      <c r="B135" t="s">
        <v>59</v>
      </c>
      <c r="D135" s="26" t="s">
        <v>102</v>
      </c>
      <c r="E135" s="4">
        <f t="shared" ref="E135:G135" si="45">E13/E3</f>
        <v>1.0439729037590243E-2</v>
      </c>
      <c r="F135" s="4">
        <f t="shared" si="45"/>
        <v>1.1244124061759665E-2</v>
      </c>
      <c r="G135" s="4">
        <f t="shared" si="45"/>
        <v>9.4987840791409955E-3</v>
      </c>
    </row>
    <row r="136" spans="2:7" x14ac:dyDescent="0.3">
      <c r="B136" t="s">
        <v>110</v>
      </c>
      <c r="D136" s="26" t="s">
        <v>102</v>
      </c>
      <c r="E136" s="4">
        <f t="shared" ref="E136:G136" si="46">E14/E3</f>
        <v>0.10012183641752159</v>
      </c>
      <c r="F136" s="4">
        <f t="shared" si="46"/>
        <v>0.11143879279548061</v>
      </c>
      <c r="G136" s="4">
        <f t="shared" si="46"/>
        <v>6.1036435834666301E-2</v>
      </c>
    </row>
  </sheetData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</vt:lpstr>
      <vt:lpstr>COR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Nedim Narlı</dc:creator>
  <cp:lastModifiedBy>nedim</cp:lastModifiedBy>
  <cp:lastPrinted>2013-08-16T15:39:51Z</cp:lastPrinted>
  <dcterms:created xsi:type="dcterms:W3CDTF">2011-03-11T13:11:26Z</dcterms:created>
  <dcterms:modified xsi:type="dcterms:W3CDTF">2020-01-17T12:46:55Z</dcterms:modified>
</cp:coreProperties>
</file>